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85" windowHeight="478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fullCalcOnLoad="1"/>
</workbook>
</file>

<file path=xl/sharedStrings.xml><?xml version="1.0" encoding="utf-8"?>
<sst xmlns="http://schemas.openxmlformats.org/spreadsheetml/2006/main" count="1554" uniqueCount="648">
  <si>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</si>
  <si>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</si>
  <si>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</si>
  <si>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</si>
  <si>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</si>
  <si>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</si>
  <si>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</si>
  <si>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</si>
  <si>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</si>
  <si>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</si>
  <si>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</si>
  <si>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</si>
  <si>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</si>
  <si>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</si>
  <si>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</si>
  <si>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</si>
  <si>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</si>
  <si>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</si>
  <si>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</si>
  <si>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</si>
  <si>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</si>
  <si>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</si>
  <si>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</si>
  <si>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</si>
  <si>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</si>
  <si>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</si>
  <si>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</si>
  <si>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</si>
  <si>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</si>
  <si>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</si>
  <si>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</si>
  <si>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</si>
  <si>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</si>
  <si>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</si>
  <si>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</si>
  <si>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</si>
  <si>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</si>
  <si>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</si>
  <si>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</si>
  <si>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</si>
  <si>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</si>
  <si>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</si>
  <si>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</si>
  <si>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</si>
  <si>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</si>
  <si>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</si>
  <si>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</si>
  <si>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</si>
  <si>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</si>
  <si>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会社・団体等役員</t>
  </si>
  <si>
    <t>その他の管理的職業従事者</t>
  </si>
  <si>
    <t>事務従事者</t>
  </si>
  <si>
    <t>一般事務従事者</t>
  </si>
  <si>
    <t>外勤事務従事者</t>
  </si>
  <si>
    <t>運輸・通信事務従事者</t>
  </si>
  <si>
    <t>事務用機器操作員</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</si>
  <si>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</si>
  <si>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</si>
  <si>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</si>
  <si>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</si>
  <si>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</si>
  <si>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</si>
  <si>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</si>
  <si>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</si>
  <si>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保安職業従事者</t>
  </si>
  <si>
    <t>農林漁業作業者</t>
  </si>
  <si>
    <t>農業作業者</t>
  </si>
  <si>
    <t>林業作業者</t>
  </si>
  <si>
    <t>漁業作業者</t>
  </si>
  <si>
    <t>運輸・通信従事者</t>
  </si>
  <si>
    <t>鉄道運転従事者</t>
  </si>
  <si>
    <t>自動車運転者</t>
  </si>
  <si>
    <t>船舶・航空機運転従事者</t>
  </si>
  <si>
    <t>その他の運輸従事者</t>
  </si>
  <si>
    <t>通信従事者</t>
  </si>
  <si>
    <t>生産工程・労務作業者</t>
  </si>
  <si>
    <t>金属材料製造作業者</t>
  </si>
  <si>
    <t>化学製品製造作業者</t>
  </si>
  <si>
    <t>窯業・土石製品製造作業者</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</si>
  <si>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</si>
  <si>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</si>
  <si>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</si>
  <si>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</si>
  <si>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</si>
  <si>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</si>
  <si>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</si>
  <si>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</si>
  <si>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</si>
  <si>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</si>
  <si>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</si>
  <si>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</si>
  <si>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</si>
  <si>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</si>
  <si>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</si>
  <si>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その他の製造・制作作業者</t>
  </si>
  <si>
    <t>定置機関・機械及び</t>
  </si>
  <si>
    <t>建設機械運転作業者</t>
  </si>
  <si>
    <t>電気作業者</t>
  </si>
  <si>
    <t>採掘・建設・労務作業者</t>
  </si>
  <si>
    <t>採掘作業者</t>
  </si>
  <si>
    <t>建設作業者</t>
  </si>
  <si>
    <t>運搬労務作業者</t>
  </si>
  <si>
    <t>その他の労務作業者</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</si>
  <si>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</si>
  <si>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</si>
  <si>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</si>
  <si>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</si>
  <si>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</si>
  <si>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</si>
  <si>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</si>
  <si>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</si>
  <si>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</si>
  <si>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</si>
  <si>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</si>
  <si>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</si>
  <si>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</si>
  <si>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</si>
  <si>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</si>
  <si>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</si>
  <si>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</si>
  <si>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</si>
  <si>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</si>
  <si>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</si>
  <si>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</si>
  <si>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</si>
  <si>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</si>
  <si>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</si>
  <si>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</si>
  <si>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</si>
  <si>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</si>
  <si>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</si>
  <si>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</si>
  <si>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</si>
  <si>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</si>
  <si>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</si>
  <si>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</si>
  <si>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</si>
  <si>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</si>
  <si>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</si>
  <si>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</si>
  <si>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</si>
  <si>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</si>
  <si>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</si>
  <si>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</si>
  <si>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</si>
  <si>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</si>
  <si>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</si>
  <si>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</si>
  <si>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</si>
  <si>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</si>
  <si>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</si>
  <si>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</si>
  <si>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</si>
  <si>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</si>
  <si>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</si>
  <si>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</si>
  <si>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</si>
  <si>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</si>
  <si>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</si>
  <si>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</si>
  <si>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</si>
  <si>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</si>
  <si>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</si>
  <si>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</si>
  <si>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</si>
  <si>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</si>
  <si>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</si>
  <si>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</si>
  <si>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</si>
  <si>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</si>
  <si>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</si>
  <si>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</si>
  <si>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</si>
  <si>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</si>
  <si>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</si>
  <si>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</si>
  <si>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</si>
  <si>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</si>
  <si>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</si>
  <si>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</si>
  <si>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</si>
  <si>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</si>
  <si>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</si>
  <si>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</si>
  <si>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</si>
  <si>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</si>
  <si>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</si>
  <si>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</si>
  <si>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</si>
  <si>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</si>
  <si>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</si>
  <si>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</si>
  <si>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</si>
  <si>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(2)　構　　成　　比</t>
  </si>
  <si>
    <t>(単位：％)</t>
  </si>
  <si>
    <t>22</t>
  </si>
  <si>
    <t>２</t>
  </si>
  <si>
    <t>７</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</si>
  <si>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</si>
  <si>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</si>
  <si>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</si>
  <si>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</si>
  <si>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</si>
  <si>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</si>
  <si>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</si>
  <si>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</si>
  <si>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</si>
  <si>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</si>
  <si>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</si>
  <si>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</si>
  <si>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</si>
  <si>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</si>
  <si>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</si>
  <si>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</si>
  <si>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</si>
  <si>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</si>
  <si>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</si>
  <si>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</si>
  <si>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</si>
  <si>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</si>
  <si>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</si>
  <si>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</si>
  <si>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</si>
  <si>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</si>
  <si>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</si>
  <si>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</si>
  <si>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</si>
  <si>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</si>
  <si>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</si>
  <si>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</si>
  <si>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</si>
  <si>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</si>
  <si>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</si>
  <si>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</si>
  <si>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</si>
  <si>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</si>
  <si>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</si>
  <si>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</si>
  <si>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</si>
  <si>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</si>
  <si>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</si>
  <si>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</si>
  <si>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</si>
  <si>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</si>
  <si>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</si>
  <si>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</si>
  <si>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</si>
  <si>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</si>
  <si>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</si>
  <si>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</si>
  <si>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</si>
  <si>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</si>
  <si>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</si>
  <si>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</si>
  <si>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</si>
  <si>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</si>
  <si>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</si>
  <si>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</si>
  <si>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</si>
  <si>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</si>
  <si>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</si>
  <si>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</si>
  <si>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</si>
  <si>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</si>
  <si>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</si>
  <si>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</si>
  <si>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</si>
  <si>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</si>
  <si>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</si>
  <si>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</si>
  <si>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</si>
  <si>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</si>
  <si>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</si>
  <si>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</si>
  <si>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</si>
  <si>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t>
  </si>
  <si>
    <t>総人口</t>
  </si>
  <si>
    <t>注</t>
  </si>
  <si>
    <t>：</t>
  </si>
  <si>
    <t>総世帯数</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</si>
  <si>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</si>
  <si>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</si>
  <si>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</si>
  <si>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</si>
  <si>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</si>
  <si>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</si>
  <si>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</si>
  <si>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</si>
  <si>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</si>
  <si>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</si>
  <si>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</si>
  <si>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</si>
  <si>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</si>
  <si>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</si>
  <si>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</si>
  <si>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</si>
  <si>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</si>
  <si>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</si>
  <si>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</si>
  <si>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</si>
  <si>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</si>
  <si>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</si>
  <si>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</si>
  <si>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</si>
  <si>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</si>
  <si>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</si>
  <si>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</si>
  <si>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</si>
  <si>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</si>
  <si>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</si>
  <si>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</si>
  <si>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</si>
  <si>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</si>
  <si>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</si>
  <si>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</si>
  <si>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</si>
  <si>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</si>
  <si>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</si>
  <si>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</si>
  <si>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</si>
  <si>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</si>
  <si>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</si>
  <si>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</si>
  <si>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</si>
  <si>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</si>
  <si>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</si>
  <si>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</si>
  <si>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</si>
  <si>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</si>
  <si>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</si>
  <si>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</si>
  <si>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</si>
  <si>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</si>
  <si>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</si>
  <si>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</si>
  <si>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</si>
  <si>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</si>
  <si>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</si>
  <si>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</si>
  <si>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</si>
  <si>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</si>
  <si>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</si>
  <si>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</si>
  <si>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</si>
  <si>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</si>
  <si>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</si>
  <si>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</si>
  <si>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</si>
  <si>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</si>
  <si>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</si>
  <si>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</si>
  <si>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</si>
  <si>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</si>
  <si>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</si>
  <si>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</si>
  <si>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</si>
  <si>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</si>
  <si>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</si>
  <si>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</si>
  <si>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</si>
  <si>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</si>
  <si>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</si>
  <si>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</si>
  <si>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</si>
  <si>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</si>
  <si>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</si>
  <si>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</si>
  <si>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</si>
  <si>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</si>
  <si>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</si>
  <si>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</si>
  <si>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</si>
  <si>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</si>
  <si>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</si>
  <si>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</si>
  <si>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</si>
  <si>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</si>
  <si>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</si>
  <si>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</si>
  <si>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世帯数</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</si>
  <si>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</si>
  <si>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</si>
  <si>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</si>
  <si>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</si>
  <si>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</si>
  <si>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</si>
  <si>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</si>
  <si>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</si>
  <si>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</si>
  <si>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</si>
  <si>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</si>
  <si>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</si>
  <si>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</si>
  <si>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</si>
  <si>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</si>
  <si>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</si>
  <si>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</si>
  <si>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</si>
  <si>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</si>
  <si>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</si>
  <si>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</si>
  <si>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</si>
  <si>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</si>
  <si>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</si>
  <si>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</si>
  <si>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</si>
  <si>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</si>
  <si>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</si>
  <si>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</si>
  <si>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</si>
  <si>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</si>
  <si>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</si>
  <si>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</si>
  <si>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</si>
  <si>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</si>
  <si>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</si>
  <si>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</si>
  <si>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</si>
  <si>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</si>
  <si>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</si>
  <si>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</si>
  <si>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</si>
  <si>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</si>
  <si>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</si>
  <si>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</si>
  <si>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</si>
  <si>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</si>
  <si>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</si>
  <si>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</si>
  <si>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</si>
  <si>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</si>
  <si>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</si>
  <si>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</si>
  <si>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</si>
  <si>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</si>
  <si>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</si>
  <si>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</si>
  <si>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</si>
  <si>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</si>
  <si>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</si>
  <si>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</si>
  <si>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</si>
  <si>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</si>
  <si>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</si>
  <si>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</si>
  <si>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</si>
  <si>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</si>
  <si>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</si>
  <si>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</si>
  <si>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</si>
  <si>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</si>
  <si>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</si>
  <si>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</si>
  <si>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</si>
  <si>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</si>
  <si>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</si>
  <si>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</si>
  <si>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</si>
  <si>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</si>
  <si>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</si>
  <si>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</si>
  <si>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</si>
  <si>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</si>
  <si>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</si>
  <si>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</si>
  <si>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</si>
  <si>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</si>
  <si>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</si>
  <si>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</si>
  <si>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</si>
  <si>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</si>
  <si>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</si>
  <si>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</si>
  <si>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</si>
  <si>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</si>
  <si>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</si>
  <si>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</si>
  <si>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１人で１戸を構えている人</t>
  </si>
  <si>
    <t>昼 間 人 口</t>
  </si>
  <si>
    <t>12</t>
  </si>
  <si>
    <t>17</t>
  </si>
  <si>
    <t>17</t>
  </si>
  <si>
    <t>総務省統計局｢平成17年　国勢調査報告｣</t>
  </si>
  <si>
    <t>(平成17年10月１日現在)</t>
  </si>
  <si>
    <t>総務省統計局「平成17年　国勢調査報告」</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</si>
  <si>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</si>
  <si>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</si>
  <si>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</si>
  <si>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</si>
  <si>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</si>
  <si>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</si>
  <si>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</si>
  <si>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</si>
  <si>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</si>
  <si>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</si>
  <si>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</si>
  <si>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</si>
  <si>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</si>
  <si>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</si>
  <si>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</si>
  <si>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</si>
  <si>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</si>
  <si>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</si>
  <si>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</si>
  <si>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</si>
  <si>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</si>
  <si>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</si>
  <si>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</si>
  <si>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</si>
  <si>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</si>
  <si>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</si>
  <si>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</si>
  <si>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</si>
  <si>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</si>
  <si>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</si>
  <si>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</si>
  <si>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20　職　業　、　男　女　別　15　歳　以　上　</t>
  </si>
  <si>
    <t>（平成17年10月１日現在）</t>
  </si>
  <si>
    <t>製造・制作作業者</t>
  </si>
  <si>
    <t>　就　業　者　数　(総　数　お　よ　び　雇　用　者)</t>
  </si>
  <si>
    <t>平成17年までの国勢調査結果等を基に東京都が予測した数値である。</t>
  </si>
  <si>
    <t>平成17年までの国勢調査結果等を基に東京都が予測した数値である。</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</si>
  <si>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</si>
  <si>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</si>
  <si>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</si>
  <si>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</si>
  <si>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</si>
  <si>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</si>
  <si>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</si>
  <si>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</si>
  <si>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</si>
  <si>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</si>
  <si>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</si>
  <si>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</si>
  <si>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</si>
  <si>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</si>
  <si>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</si>
  <si>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</si>
  <si>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</si>
  <si>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</si>
  <si>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</si>
  <si>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</si>
  <si>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</si>
  <si>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</si>
  <si>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</si>
  <si>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</si>
  <si>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</si>
  <si>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東京都総務局統計部人口統計課「平成17年国勢調査による東京都の昼間人口」</t>
  </si>
  <si>
    <t>府中市</t>
  </si>
  <si>
    <t>居住施設・ビル等管理人</t>
  </si>
  <si>
    <t>また、歯舞群島のほか３島は対象外である。</t>
  </si>
  <si>
    <t>3- 8 　国　 勢　 調　 査</t>
  </si>
  <si>
    <t>「雇用者」には役員を含む。</t>
  </si>
  <si>
    <t>：</t>
  </si>
  <si>
    <t>：</t>
  </si>
  <si>
    <t>Ａ</t>
  </si>
  <si>
    <t>専門的・技術的職業従事者</t>
  </si>
  <si>
    <t>Ｂ</t>
  </si>
  <si>
    <t>Ｃ</t>
  </si>
  <si>
    <t>Ｄ</t>
  </si>
  <si>
    <t>Ｅ</t>
  </si>
  <si>
    <t>Ｆ</t>
  </si>
  <si>
    <t>Ｇ</t>
  </si>
  <si>
    <t>Ｈ</t>
  </si>
  <si>
    <t>Ｉ</t>
  </si>
  <si>
    <t>Ｉ-1</t>
  </si>
  <si>
    <t>Ｉ-2</t>
  </si>
  <si>
    <t>定置機関運転・建設機械運転・</t>
  </si>
  <si>
    <t>電気作業者</t>
  </si>
  <si>
    <t>Ｉ-3</t>
  </si>
  <si>
    <t>Ｊ</t>
  </si>
  <si>
    <t>施設等の世帯数は、平成22年の実数である。</t>
  </si>
  <si>
    <t>東京都総務局統計部人口統計課｢東京都世帯数の予測｣(平成21年３月)</t>
  </si>
  <si>
    <t>平成17年までの国勢調査結果等を基に東京都が予測した数値である。</t>
  </si>
  <si>
    <t>運輸業</t>
  </si>
  <si>
    <t>卸　売
小売業</t>
  </si>
  <si>
    <t>金　融
保険業</t>
  </si>
  <si>
    <t>飲食店
宿泊業</t>
  </si>
  <si>
    <t>医療
福祉</t>
  </si>
  <si>
    <t>複合サー
ビス事業</t>
  </si>
  <si>
    <t>サービス業
(他に分類さ
れないもの)</t>
  </si>
  <si>
    <t>公務
(他に分類さ
れないもの)</t>
  </si>
  <si>
    <t>昼夜間人口
比率</t>
  </si>
  <si>
    <t>(4)　従　業　地　に　よ　る　産　業　別　就　業　者　数</t>
  </si>
  <si>
    <t>東京都総務局統計部人口統計課｢東京都男女・年齢（５歳階級）別人口の予測｣(平成20年３月)、総務部総務課</t>
  </si>
  <si>
    <t>東京都総務局統計部人口統計課｢東京都昼間人口の予測｣(平成22年３月)</t>
  </si>
  <si>
    <t>東京都総務局統計部人口統計課｢東京都就業者数の予測｣ (平成22年３月)</t>
  </si>
  <si>
    <t>総数には「不詳」を含むため、内訳を合計しても総数に一致しない。</t>
  </si>
  <si>
    <t>(平成22年10月１日現在)</t>
  </si>
  <si>
    <t>家族類型</t>
  </si>
  <si>
    <t>(親を含まない)</t>
  </si>
  <si>
    <t>：</t>
  </si>
  <si>
    <t>：</t>
  </si>
  <si>
    <t>世帯人員</t>
  </si>
  <si>
    <t>６歳未満の
親族のいる
世帯数</t>
  </si>
  <si>
    <t>１８歳未満の
親族のいる
世帯数</t>
  </si>
  <si>
    <t>６５歳以上の
親族のいる
世帯数</t>
  </si>
  <si>
    <t>-</t>
  </si>
  <si>
    <t>されている。平成22年調査は大規模調査で、平成22年10月1日を基準日として実施された。</t>
  </si>
  <si>
    <t>＝　参照している集計結果　＝</t>
  </si>
  <si>
    <t>このため、平成23年12月１日までに結果が公表されていない統計表（表14,15,16,17,18,19,20,21）については、</t>
  </si>
  <si>
    <t>平成17年調査の資料を基に掲載している。</t>
  </si>
  <si>
    <t>総務省統計局｢平成22年国勢調査　人口等基本集計｣</t>
  </si>
  <si>
    <t>総務省統計局｢平成22年国勢調査報告　人口等基本集計｣</t>
  </si>
  <si>
    <t>総務省統計局｢平成22年国勢調査報告　人口等基本集計｣、｢昭和55年10月１日の境域による各回国勢調査時の市区町村別人口｣</t>
  </si>
  <si>
    <t>年次</t>
  </si>
  <si>
    <t>人口密度　　　　　　　　　　　　　　　　　　　　　　　　　　　　　　　　　　　　　　　　　　　　　　　　　　　　　　　　　　　　　　　　　　　　　　　　　　　　　　　　　　　　　　　　　　　　　　　　　　　(人／㎢)</t>
  </si>
  <si>
    <t>９</t>
  </si>
  <si>
    <t>…</t>
  </si>
  <si>
    <t>14</t>
  </si>
  <si>
    <t>５</t>
  </si>
  <si>
    <t>10</t>
  </si>
  <si>
    <t>15</t>
  </si>
  <si>
    <t>22</t>
  </si>
  <si>
    <t>23</t>
  </si>
  <si>
    <t>25</t>
  </si>
  <si>
    <t>30</t>
  </si>
  <si>
    <t>35</t>
  </si>
  <si>
    <t>40</t>
  </si>
  <si>
    <t>45</t>
  </si>
  <si>
    <t>50</t>
  </si>
  <si>
    <t>55</t>
  </si>
  <si>
    <t>60</t>
  </si>
  <si>
    <t>７</t>
  </si>
  <si>
    <t>12</t>
  </si>
  <si>
    <t>17</t>
  </si>
  <si>
    <t>：</t>
  </si>
  <si>
    <t>：</t>
  </si>
  <si>
    <t>55</t>
  </si>
  <si>
    <t>：</t>
  </si>
  <si>
    <t>：</t>
  </si>
  <si>
    <t>…</t>
  </si>
  <si>
    <t>電気・ガス
熱供給
水道業</t>
  </si>
  <si>
    <t>：</t>
  </si>
  <si>
    <t xml:space="preserve">… </t>
  </si>
  <si>
    <t>情報
通信業</t>
  </si>
  <si>
    <t>(2)</t>
  </si>
  <si>
    <t>(3)</t>
  </si>
  <si>
    <t>産業分類は、平成14年３月改定の日本標準産業分類による。</t>
  </si>
  <si>
    <t>第1次産業は、農業、林業及び漁業からなる。</t>
  </si>
  <si>
    <t>国勢調査の結果は、総務省統計局において集計がまとまったものから順次公表されるため、平成22年調査の結果</t>
  </si>
  <si>
    <t>については、平成23年12月１日までに公表されている資料を掲載した。</t>
  </si>
  <si>
    <t>(1)</t>
  </si>
  <si>
    <t>昭和22年以前の人口は｢現在人口｣、昭和23年以降は｢常住人口｣である。昭和25年では｢現在人口｣も調査した。</t>
  </si>
  <si>
    <t>124,667人で｢常住人口｣より少なかった。</t>
  </si>
  <si>
    <t>資料</t>
  </si>
  <si>
    <t>(3)</t>
  </si>
  <si>
    <t>教育学習
支 援 業</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</si>
</sst>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 numFmtId="215" formatCode="#,##0_ ;[Red]\-#,##0\ "/>
  </numFmts>
  <fonts count="70">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0"/>
      <name val="ＭＳ 明朝"/>
      <family val="1"/>
    </font>
    <font>
      <sz val="8.5"/>
      <name val="ＭＳ 明朝"/>
      <family val="1"/>
    </font>
    <font>
      <sz val="1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8.75"/>
      <color indexed="8"/>
      <name val="ＭＳ 明朝"/>
      <family val="1"/>
    </font>
    <font>
      <sz val="11"/>
      <name val="ＭＳ ゴシック"/>
      <family val="3"/>
    </font>
    <font>
      <sz val="9.5"/>
      <name val="ＭＳ Ｐ明朝"/>
      <family val="1"/>
    </font>
    <font>
      <sz val="9"/>
      <color indexed="8"/>
      <name val="ＭＳ Ｐ明朝"/>
      <family val="1"/>
    </font>
    <font>
      <sz val="8"/>
      <color indexed="8"/>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color indexed="63"/>
      </left>
      <right style="hair"/>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color indexed="63"/>
      </left>
      <right style="hair"/>
      <top style="thin"/>
      <bottom style="hair"/>
    </border>
    <border>
      <left style="hair"/>
      <right style="hair"/>
      <top>
        <color indexed="63"/>
      </top>
      <bottom>
        <color indexed="63"/>
      </bottom>
    </border>
    <border>
      <left style="hair"/>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protection/>
    </xf>
    <xf numFmtId="0" fontId="15" fillId="0" borderId="0" applyNumberFormat="0" applyFill="0" applyBorder="0" applyAlignment="0" applyProtection="0"/>
    <xf numFmtId="0" fontId="69" fillId="31" borderId="0" applyNumberFormat="0" applyBorder="0" applyAlignment="0" applyProtection="0"/>
  </cellStyleXfs>
  <cellXfs count="615">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7"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7"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19"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19" fillId="0" borderId="0" xfId="0" applyFont="1" applyAlignment="1">
      <alignment horizontal="distributed" vertical="center"/>
    </xf>
    <xf numFmtId="0" fontId="22" fillId="0" borderId="0" xfId="0" applyFont="1" applyAlignment="1">
      <alignment vertical="center"/>
    </xf>
    <xf numFmtId="0" fontId="22" fillId="0" borderId="0" xfId="0" applyFont="1" applyAlignment="1">
      <alignment horizontal="left"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3"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3" fillId="0" borderId="0" xfId="0" applyNumberFormat="1" applyFont="1" applyAlignment="1">
      <alignment vertical="center"/>
    </xf>
    <xf numFmtId="204" fontId="4" fillId="0" borderId="0" xfId="0" applyNumberFormat="1" applyFont="1" applyBorder="1" applyAlignment="1">
      <alignment horizontal="left" vertical="center"/>
    </xf>
    <xf numFmtId="179" fontId="4" fillId="32" borderId="18" xfId="0" applyNumberFormat="1" applyFont="1" applyFill="1" applyBorder="1" applyAlignment="1">
      <alignment vertical="center"/>
    </xf>
    <xf numFmtId="179" fontId="4" fillId="32" borderId="0" xfId="0" applyNumberFormat="1" applyFont="1" applyFill="1" applyBorder="1" applyAlignment="1">
      <alignment vertical="center"/>
    </xf>
    <xf numFmtId="195" fontId="4" fillId="32"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2" borderId="18" xfId="0" applyNumberFormat="1" applyFont="1" applyFill="1" applyBorder="1" applyAlignment="1">
      <alignment vertical="center"/>
    </xf>
    <xf numFmtId="179" fontId="5" fillId="32" borderId="0" xfId="0" applyNumberFormat="1" applyFont="1" applyFill="1" applyBorder="1" applyAlignment="1">
      <alignment vertical="center"/>
    </xf>
    <xf numFmtId="195" fontId="5" fillId="32"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212" fontId="7" fillId="0" borderId="0" xfId="61" applyNumberFormat="1" applyFont="1" applyFill="1" applyBorder="1" applyAlignment="1">
      <alignment horizontal="right" vertical="top"/>
      <protection/>
    </xf>
    <xf numFmtId="212" fontId="9" fillId="0" borderId="0" xfId="61" applyNumberFormat="1" applyFont="1" applyFill="1" applyBorder="1" applyAlignment="1">
      <alignment horizontal="right" vertical="top"/>
      <protection/>
    </xf>
    <xf numFmtId="0" fontId="5" fillId="0" borderId="0" xfId="0" applyFont="1" applyBorder="1" applyAlignment="1">
      <alignment horizontal="center" vertical="center"/>
    </xf>
    <xf numFmtId="0" fontId="21" fillId="0" borderId="0" xfId="0" applyFont="1" applyFill="1" applyAlignment="1">
      <alignment horizontal="center" vertical="center"/>
    </xf>
    <xf numFmtId="0" fontId="4" fillId="0" borderId="31" xfId="0" applyFont="1" applyBorder="1" applyAlignment="1">
      <alignment vertical="center"/>
    </xf>
    <xf numFmtId="0" fontId="4" fillId="0" borderId="11" xfId="0"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6" fontId="4" fillId="0" borderId="18" xfId="0" applyNumberFormat="1" applyFont="1" applyBorder="1" applyAlignment="1">
      <alignment horizontal="right" vertical="center"/>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215" fontId="1" fillId="0" borderId="26" xfId="49" applyNumberFormat="1" applyFont="1" applyBorder="1" applyAlignment="1">
      <alignment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176" fontId="4" fillId="0" borderId="24" xfId="49" applyNumberFormat="1" applyFont="1" applyBorder="1" applyAlignment="1">
      <alignment vertical="center"/>
    </xf>
    <xf numFmtId="0" fontId="0" fillId="0" borderId="24" xfId="0" applyBorder="1" applyAlignment="1">
      <alignment vertical="center"/>
    </xf>
    <xf numFmtId="176" fontId="4" fillId="0" borderId="24" xfId="0" applyNumberFormat="1" applyFont="1" applyBorder="1" applyAlignment="1">
      <alignment vertical="center"/>
    </xf>
    <xf numFmtId="176" fontId="5" fillId="0" borderId="24" xfId="0" applyNumberFormat="1" applyFont="1" applyBorder="1" applyAlignment="1">
      <alignment vertical="center"/>
    </xf>
    <xf numFmtId="193" fontId="4" fillId="0" borderId="0" xfId="0" applyNumberFormat="1" applyFont="1" applyBorder="1" applyAlignment="1">
      <alignment horizontal="right" vertical="center"/>
    </xf>
    <xf numFmtId="0" fontId="31" fillId="0" borderId="0" xfId="0" applyFont="1" applyAlignment="1">
      <alignment horizontal="right" vertical="center"/>
    </xf>
    <xf numFmtId="0" fontId="31" fillId="0" borderId="0" xfId="0" applyFont="1" applyAlignment="1">
      <alignment horizontal="left" vertical="center"/>
    </xf>
    <xf numFmtId="0" fontId="32" fillId="0" borderId="11"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22" fillId="0" borderId="11" xfId="0" applyFont="1" applyBorder="1" applyAlignment="1">
      <alignment vertical="center"/>
    </xf>
    <xf numFmtId="0" fontId="22" fillId="0" borderId="0" xfId="0" applyFont="1" applyBorder="1" applyAlignment="1">
      <alignment vertical="center"/>
    </xf>
    <xf numFmtId="0" fontId="31" fillId="0" borderId="0" xfId="0" applyFont="1" applyFill="1" applyAlignment="1">
      <alignment horizontal="right" vertical="center"/>
    </xf>
    <xf numFmtId="0" fontId="22" fillId="0" borderId="0" xfId="0" applyFont="1" applyFill="1" applyBorder="1" applyAlignment="1">
      <alignment vertical="center"/>
    </xf>
    <xf numFmtId="0" fontId="22" fillId="0" borderId="0" xfId="0" applyFont="1" applyFill="1" applyAlignment="1">
      <alignment vertical="center"/>
    </xf>
    <xf numFmtId="0" fontId="31" fillId="0" borderId="0" xfId="0" applyFont="1" applyFill="1" applyAlignment="1">
      <alignment horizontal="left" vertical="center"/>
    </xf>
    <xf numFmtId="0" fontId="22" fillId="0" borderId="11" xfId="0" applyFont="1" applyFill="1" applyBorder="1" applyAlignment="1">
      <alignmen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0" xfId="0" applyFont="1" applyBorder="1" applyAlignment="1">
      <alignment horizontal="distributed"/>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49" fontId="11" fillId="0" borderId="0" xfId="0" applyNumberFormat="1" applyFont="1" applyAlignment="1">
      <alignment horizontal="distributed" vertical="center"/>
    </xf>
    <xf numFmtId="0" fontId="4" fillId="0" borderId="13" xfId="0" applyFont="1" applyBorder="1" applyAlignment="1">
      <alignment horizontal="distributed" vertical="center"/>
    </xf>
    <xf numFmtId="0" fontId="4" fillId="0" borderId="16" xfId="0" applyFont="1" applyBorder="1" applyAlignment="1">
      <alignment horizontal="distributed"/>
    </xf>
    <xf numFmtId="0" fontId="18" fillId="0" borderId="13" xfId="0" applyFont="1" applyBorder="1" applyAlignment="1">
      <alignment horizontal="distributed" vertical="center"/>
    </xf>
    <xf numFmtId="0" fontId="18"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0" fontId="4" fillId="0" borderId="16" xfId="0" applyFont="1" applyBorder="1" applyAlignment="1">
      <alignment horizontal="distributed" vertical="center"/>
    </xf>
    <xf numFmtId="0" fontId="18" fillId="0" borderId="0" xfId="0" applyFont="1" applyBorder="1" applyAlignment="1">
      <alignment horizontal="distributed"/>
    </xf>
    <xf numFmtId="0" fontId="4" fillId="0" borderId="36" xfId="0" applyFont="1" applyBorder="1" applyAlignment="1">
      <alignment horizontal="distributed" vertical="center"/>
    </xf>
    <xf numFmtId="0" fontId="22" fillId="0" borderId="0" xfId="0" applyFont="1" applyBorder="1" applyAlignment="1">
      <alignment horizontal="distributed" vertical="center"/>
    </xf>
    <xf numFmtId="0" fontId="7" fillId="0" borderId="0" xfId="0" applyFont="1" applyBorder="1" applyAlignment="1">
      <alignment horizontal="center" vertical="center"/>
    </xf>
    <xf numFmtId="0" fontId="32" fillId="0" borderId="11" xfId="0" applyFont="1" applyBorder="1" applyAlignment="1">
      <alignment horizontal="right" vertical="center"/>
    </xf>
    <xf numFmtId="0" fontId="7"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180" fontId="4" fillId="0" borderId="0" xfId="49" applyNumberFormat="1" applyFont="1" applyAlignment="1">
      <alignment horizontal="right" vertical="center"/>
    </xf>
    <xf numFmtId="0" fontId="0" fillId="0" borderId="0" xfId="0" applyAlignment="1">
      <alignment horizontal="right" vertical="center"/>
    </xf>
    <xf numFmtId="176" fontId="9" fillId="0" borderId="18" xfId="49" applyNumberFormat="1" applyFont="1" applyBorder="1" applyAlignment="1">
      <alignment horizontal="right" vertical="center"/>
    </xf>
    <xf numFmtId="0" fontId="30" fillId="0" borderId="0" xfId="0" applyFont="1" applyBorder="1" applyAlignment="1">
      <alignment horizontal="right" vertical="center"/>
    </xf>
    <xf numFmtId="180" fontId="5" fillId="0" borderId="0" xfId="49" applyNumberFormat="1" applyFont="1" applyAlignment="1">
      <alignment horizontal="right" vertical="center"/>
    </xf>
    <xf numFmtId="0" fontId="30" fillId="0" borderId="0" xfId="0" applyFont="1" applyAlignment="1">
      <alignment horizontal="right" vertical="center"/>
    </xf>
    <xf numFmtId="176" fontId="7" fillId="0" borderId="0" xfId="49" applyNumberFormat="1" applyFont="1" applyBorder="1" applyAlignment="1">
      <alignment horizontal="right" vertical="center"/>
    </xf>
    <xf numFmtId="0" fontId="0" fillId="0" borderId="0" xfId="0" applyBorder="1" applyAlignment="1">
      <alignment horizontal="right" vertical="center"/>
    </xf>
    <xf numFmtId="0" fontId="32" fillId="0" borderId="0" xfId="0" applyFont="1" applyAlignment="1">
      <alignment horizontal="distributed" vertical="center"/>
    </xf>
    <xf numFmtId="0" fontId="20" fillId="0" borderId="0" xfId="0" applyFont="1" applyFill="1" applyAlignment="1">
      <alignment horizontal="center" vertical="center"/>
    </xf>
    <xf numFmtId="49" fontId="32" fillId="0" borderId="0" xfId="0" applyNumberFormat="1" applyFont="1" applyBorder="1" applyAlignment="1">
      <alignment horizontal="center" vertical="center"/>
    </xf>
    <xf numFmtId="49" fontId="7" fillId="0" borderId="0" xfId="0" applyNumberFormat="1" applyFont="1" applyAlignment="1">
      <alignment horizontal="center" vertical="center"/>
    </xf>
    <xf numFmtId="178" fontId="7" fillId="0" borderId="0" xfId="49" applyNumberFormat="1" applyFont="1" applyAlignment="1">
      <alignment horizontal="right" vertical="center"/>
    </xf>
    <xf numFmtId="178" fontId="9" fillId="0" borderId="0" xfId="49" applyNumberFormat="1" applyFont="1" applyAlignment="1">
      <alignment horizontal="right" vertical="center"/>
    </xf>
    <xf numFmtId="0" fontId="32" fillId="0" borderId="0" xfId="0" applyFont="1" applyBorder="1" applyAlignment="1">
      <alignment horizontal="right" vertical="center"/>
    </xf>
    <xf numFmtId="208" fontId="7" fillId="0" borderId="0" xfId="49" applyNumberFormat="1" applyFont="1" applyAlignment="1">
      <alignment horizontal="right" vertical="center"/>
    </xf>
    <xf numFmtId="49" fontId="9" fillId="0" borderId="0" xfId="0" applyNumberFormat="1" applyFont="1" applyAlignment="1">
      <alignment horizontal="center" vertical="center"/>
    </xf>
    <xf numFmtId="208" fontId="7" fillId="0" borderId="18" xfId="49" applyNumberFormat="1" applyFont="1" applyBorder="1" applyAlignment="1">
      <alignment horizontal="right" vertical="center"/>
    </xf>
    <xf numFmtId="208" fontId="7" fillId="0" borderId="0" xfId="49" applyNumberFormat="1" applyFont="1" applyBorder="1" applyAlignment="1">
      <alignment horizontal="right"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208" fontId="9" fillId="0" borderId="0" xfId="49" applyNumberFormat="1" applyFont="1" applyAlignment="1">
      <alignment horizontal="right" vertical="center"/>
    </xf>
    <xf numFmtId="176" fontId="7" fillId="0" borderId="0" xfId="49" applyNumberFormat="1" applyFont="1" applyAlignment="1">
      <alignment horizontal="right" vertical="center"/>
    </xf>
    <xf numFmtId="176" fontId="9" fillId="0" borderId="0" xfId="49" applyNumberFormat="1" applyFont="1" applyAlignment="1">
      <alignment horizontal="right" vertical="center"/>
    </xf>
    <xf numFmtId="176" fontId="7" fillId="0" borderId="18" xfId="49" applyNumberFormat="1" applyFont="1" applyBorder="1" applyAlignment="1">
      <alignment horizontal="right" vertical="center"/>
    </xf>
    <xf numFmtId="0" fontId="7" fillId="0" borderId="0" xfId="0" applyFont="1" applyAlignment="1">
      <alignment horizontal="distributed"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7" fillId="0" borderId="37" xfId="0" applyFont="1" applyBorder="1" applyAlignment="1">
      <alignment horizontal="distributed" vertical="center"/>
    </xf>
    <xf numFmtId="0" fontId="0" fillId="0" borderId="38" xfId="0" applyBorder="1" applyAlignment="1">
      <alignment horizontal="distributed" vertical="center"/>
    </xf>
    <xf numFmtId="0" fontId="7" fillId="0" borderId="39" xfId="0" applyFont="1" applyBorder="1" applyAlignment="1">
      <alignment horizontal="distributed" vertical="center"/>
    </xf>
    <xf numFmtId="0" fontId="7" fillId="0" borderId="23" xfId="0" applyFont="1" applyBorder="1" applyAlignment="1">
      <alignment horizontal="distributed" vertical="center"/>
    </xf>
    <xf numFmtId="0" fontId="0" fillId="0" borderId="40" xfId="0" applyBorder="1" applyAlignment="1">
      <alignment horizontal="distributed" vertical="center"/>
    </xf>
    <xf numFmtId="0" fontId="7"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29" xfId="0" applyFont="1" applyBorder="1" applyAlignment="1">
      <alignment horizontal="center" vertical="center" wrapTex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40" xfId="0" applyFont="1" applyBorder="1" applyAlignment="1">
      <alignment horizontal="distributed" vertical="center"/>
    </xf>
    <xf numFmtId="0" fontId="7" fillId="0" borderId="14" xfId="0" applyFont="1" applyBorder="1" applyAlignment="1">
      <alignment horizontal="distributed" vertical="center"/>
    </xf>
    <xf numFmtId="0" fontId="4" fillId="0" borderId="10" xfId="0" applyFont="1" applyBorder="1" applyAlignment="1">
      <alignment horizontal="left" vertical="center"/>
    </xf>
    <xf numFmtId="176" fontId="5" fillId="0" borderId="18" xfId="49" applyNumberFormat="1" applyFont="1" applyBorder="1" applyAlignment="1">
      <alignment horizontal="right" vertical="center"/>
    </xf>
    <xf numFmtId="176" fontId="4" fillId="0" borderId="18" xfId="49" applyNumberFormat="1" applyFont="1" applyBorder="1" applyAlignment="1">
      <alignment horizontal="right" vertical="center"/>
    </xf>
    <xf numFmtId="0" fontId="30" fillId="0" borderId="0" xfId="0" applyFont="1" applyAlignment="1">
      <alignment horizontal="center" vertical="center"/>
    </xf>
    <xf numFmtId="0" fontId="7" fillId="0" borderId="11" xfId="0" applyFont="1" applyBorder="1" applyAlignment="1">
      <alignment horizontal="distributed" vertical="center"/>
    </xf>
    <xf numFmtId="0" fontId="0" fillId="0" borderId="11" xfId="0" applyBorder="1" applyAlignment="1">
      <alignment horizontal="distributed" vertical="center"/>
    </xf>
    <xf numFmtId="0" fontId="0" fillId="0" borderId="31"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32" fillId="0" borderId="0" xfId="0" applyFont="1" applyBorder="1" applyAlignment="1">
      <alignment horizontal="distributed" vertical="center"/>
    </xf>
    <xf numFmtId="0" fontId="0" fillId="0" borderId="0" xfId="0" applyAlignment="1">
      <alignment horizontal="distributed" vertical="center"/>
    </xf>
    <xf numFmtId="0" fontId="4" fillId="0" borderId="0" xfId="0" applyFont="1" applyBorder="1" applyAlignment="1">
      <alignment horizontal="center" vertical="center"/>
    </xf>
    <xf numFmtId="0" fontId="7" fillId="0" borderId="29" xfId="0" applyFont="1" applyBorder="1" applyAlignment="1">
      <alignment horizontal="distributed" vertical="center"/>
    </xf>
    <xf numFmtId="0" fontId="0" fillId="0" borderId="19" xfId="0" applyBorder="1" applyAlignment="1">
      <alignment horizontal="distributed"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176" fontId="9" fillId="0" borderId="0" xfId="49" applyNumberFormat="1" applyFont="1" applyBorder="1" applyAlignment="1">
      <alignment horizontal="right" vertical="center"/>
    </xf>
    <xf numFmtId="0" fontId="21" fillId="0" borderId="0" xfId="0" applyFont="1" applyAlignment="1">
      <alignment horizontal="center" vertical="center"/>
    </xf>
    <xf numFmtId="204" fontId="4"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5"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13" fillId="0" borderId="0" xfId="0" applyFont="1" applyAlignment="1">
      <alignment horizontal="distributed" vertical="center"/>
    </xf>
    <xf numFmtId="0" fontId="5" fillId="0" borderId="0" xfId="0" applyFont="1" applyBorder="1" applyAlignment="1">
      <alignment horizontal="distributed" vertical="center"/>
    </xf>
    <xf numFmtId="0" fontId="21" fillId="0" borderId="0" xfId="0" applyFont="1" applyFill="1" applyAlignment="1">
      <alignment horizontal="center"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1" xfId="0"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wrapText="1"/>
    </xf>
    <xf numFmtId="176" fontId="4" fillId="0" borderId="0" xfId="49" applyNumberFormat="1" applyFont="1" applyBorder="1" applyAlignment="1">
      <alignment horizontal="right" vertical="center"/>
    </xf>
    <xf numFmtId="188"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8" fontId="4" fillId="0" borderId="0" xfId="49" applyNumberFormat="1" applyFont="1" applyBorder="1" applyAlignment="1">
      <alignment horizontal="right"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1"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21" fillId="0" borderId="0" xfId="0" applyFont="1" applyFill="1" applyBorder="1" applyAlignment="1">
      <alignment horizontal="center" vertical="center"/>
    </xf>
    <xf numFmtId="0" fontId="4" fillId="0" borderId="31"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22" fillId="0" borderId="11" xfId="0" applyFont="1" applyBorder="1" applyAlignment="1">
      <alignment horizontal="right" vertical="center"/>
    </xf>
    <xf numFmtId="0" fontId="22" fillId="0" borderId="0" xfId="0" applyFont="1" applyAlignment="1">
      <alignment horizontal="distributed" vertical="center"/>
    </xf>
    <xf numFmtId="0" fontId="4" fillId="0" borderId="0" xfId="0" applyFont="1" applyAlignment="1">
      <alignment horizontal="center" vertical="center"/>
    </xf>
    <xf numFmtId="0" fontId="4" fillId="0" borderId="40" xfId="0" applyFont="1" applyBorder="1" applyAlignment="1">
      <alignment horizontal="distributed" vertical="center"/>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21" fillId="0" borderId="0" xfId="0" applyFont="1" applyFill="1" applyAlignment="1">
      <alignment horizontal="right" vertical="center"/>
    </xf>
    <xf numFmtId="0" fontId="4" fillId="0" borderId="0" xfId="0" applyFont="1" applyFill="1" applyBorder="1" applyAlignment="1">
      <alignment horizontal="distributed" vertical="center"/>
    </xf>
    <xf numFmtId="0" fontId="21"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3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22" fillId="0" borderId="11" xfId="0" applyFont="1" applyFill="1" applyBorder="1" applyAlignment="1">
      <alignment horizontal="right" vertical="center"/>
    </xf>
    <xf numFmtId="0" fontId="22" fillId="0" borderId="0" xfId="0" applyFont="1" applyFill="1" applyAlignment="1">
      <alignment horizontal="distributed"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0" xfId="0" applyFont="1" applyFill="1" applyBorder="1" applyAlignment="1">
      <alignment horizontal="right"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27" xfId="0" applyFont="1" applyFill="1" applyBorder="1" applyAlignment="1">
      <alignment horizontal="distributed"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179" fontId="4" fillId="0" borderId="0"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88"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179" fontId="5" fillId="0" borderId="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31"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22"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6" fontId="5" fillId="0" borderId="0"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0" fontId="5" fillId="0" borderId="0" xfId="0" applyFont="1" applyBorder="1" applyAlignment="1">
      <alignment horizontal="center" vertical="center"/>
    </xf>
    <xf numFmtId="0" fontId="4" fillId="0" borderId="38" xfId="0" applyFont="1" applyBorder="1" applyAlignment="1">
      <alignment horizontal="distributed" vertical="center"/>
    </xf>
    <xf numFmtId="0" fontId="4" fillId="0" borderId="13" xfId="0" applyFont="1" applyBorder="1" applyAlignment="1">
      <alignment horizontal="distributed" vertical="center"/>
    </xf>
    <xf numFmtId="0" fontId="21" fillId="0" borderId="0" xfId="0" applyFont="1" applyFill="1" applyAlignment="1">
      <alignment horizontal="distributed" vertical="center" indent="1"/>
    </xf>
    <xf numFmtId="0" fontId="0" fillId="0" borderId="0" xfId="0" applyFill="1" applyAlignment="1">
      <alignment horizontal="distributed" vertical="center" indent="1"/>
    </xf>
    <xf numFmtId="0" fontId="0" fillId="0" borderId="0" xfId="0" applyAlignment="1">
      <alignment vertical="center"/>
    </xf>
    <xf numFmtId="0" fontId="0" fillId="0" borderId="0" xfId="0" applyFill="1" applyAlignment="1">
      <alignment horizontal="left" vertical="center"/>
    </xf>
    <xf numFmtId="0" fontId="5" fillId="0" borderId="0" xfId="0" applyFont="1" applyBorder="1" applyAlignment="1">
      <alignment horizontal="left" vertical="center"/>
    </xf>
    <xf numFmtId="176" fontId="5" fillId="0" borderId="0" xfId="0" applyNumberFormat="1" applyFont="1" applyBorder="1" applyAlignment="1">
      <alignment horizontal="right" vertical="center"/>
    </xf>
    <xf numFmtId="41" fontId="4" fillId="0" borderId="0" xfId="0" applyNumberFormat="1" applyFont="1" applyBorder="1" applyAlignment="1">
      <alignment horizontal="righ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4" fillId="0" borderId="0" xfId="0" applyNumberFormat="1" applyFont="1" applyBorder="1" applyAlignment="1">
      <alignment vertical="center"/>
    </xf>
    <xf numFmtId="176" fontId="5" fillId="0" borderId="18" xfId="0" applyNumberFormat="1" applyFont="1" applyBorder="1" applyAlignment="1">
      <alignment horizontal="right" vertical="center"/>
    </xf>
    <xf numFmtId="181" fontId="4" fillId="0" borderId="0" xfId="0" applyNumberFormat="1" applyFont="1" applyAlignment="1">
      <alignment horizontal="right" vertical="center"/>
    </xf>
    <xf numFmtId="204" fontId="5" fillId="0" borderId="0" xfId="0" applyNumberFormat="1" applyFont="1" applyAlignment="1">
      <alignment horizontal="righ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176" fontId="4" fillId="0" borderId="0" xfId="0" applyNumberFormat="1" applyFont="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5" fillId="0" borderId="0" xfId="0" applyNumberFormat="1" applyFont="1" applyAlignment="1">
      <alignment vertical="center"/>
    </xf>
    <xf numFmtId="0" fontId="4" fillId="0" borderId="0" xfId="0" applyFont="1" applyAlignment="1">
      <alignment horizontal="center" vertical="center"/>
    </xf>
    <xf numFmtId="0" fontId="4" fillId="0" borderId="18" xfId="0" applyFont="1" applyBorder="1" applyAlignment="1">
      <alignment horizontal="distributed" vertical="center"/>
    </xf>
    <xf numFmtId="41" fontId="5" fillId="0" borderId="18" xfId="0" applyNumberFormat="1"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right" vertical="center"/>
    </xf>
    <xf numFmtId="41" fontId="5" fillId="0" borderId="0" xfId="0" applyNumberFormat="1" applyFont="1" applyBorder="1" applyAlignment="1">
      <alignment horizontal="right" vertical="center"/>
    </xf>
    <xf numFmtId="204" fontId="4" fillId="0" borderId="0" xfId="0" applyNumberFormat="1" applyFont="1" applyAlignment="1">
      <alignment horizontal="right" vertical="center"/>
    </xf>
    <xf numFmtId="0" fontId="0" fillId="0" borderId="16"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181" fontId="4" fillId="0" borderId="0" xfId="0" applyNumberFormat="1" applyFont="1" applyBorder="1" applyAlignment="1">
      <alignment vertical="center"/>
    </xf>
    <xf numFmtId="0" fontId="4" fillId="0" borderId="0" xfId="0" applyFont="1" applyAlignment="1">
      <alignment horizontal="distributed" vertical="center"/>
    </xf>
    <xf numFmtId="0" fontId="4" fillId="0" borderId="42" xfId="0" applyFont="1" applyBorder="1" applyAlignment="1">
      <alignment horizontal="distributed"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49" fontId="22" fillId="0" borderId="11" xfId="0" applyNumberFormat="1" applyFont="1" applyBorder="1" applyAlignment="1">
      <alignment horizontal="center" vertical="center"/>
    </xf>
    <xf numFmtId="49" fontId="22" fillId="0" borderId="0" xfId="0" applyNumberFormat="1" applyFont="1" applyAlignment="1">
      <alignment horizontal="center" vertical="center"/>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41" fontId="4" fillId="0" borderId="18" xfId="0" applyNumberFormat="1" applyFont="1" applyBorder="1" applyAlignment="1">
      <alignment horizontal="right" vertical="center"/>
    </xf>
    <xf numFmtId="41" fontId="0" fillId="0" borderId="0" xfId="0" applyNumberFormat="1" applyAlignment="1">
      <alignment horizontal="right" vertical="center"/>
    </xf>
    <xf numFmtId="0" fontId="4" fillId="0" borderId="0" xfId="0" applyFont="1" applyBorder="1" applyAlignment="1">
      <alignment horizontal="distributed" vertical="center" wrapText="1"/>
    </xf>
    <xf numFmtId="41" fontId="1" fillId="0" borderId="0" xfId="0" applyNumberFormat="1" applyFont="1" applyAlignment="1">
      <alignment horizontal="right" vertical="center"/>
    </xf>
    <xf numFmtId="49" fontId="22" fillId="0" borderId="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'グラフ元データ(世帯数の推移、人口の推移)'!$A$18:$D$18</c:f>
              <c:strCache>
                <c:ptCount val="1"/>
                <c:pt idx="0">
                  <c:v>昭和25年からの世帯数（国勢調査）</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rPr>
                      <a:t>27,465</a:t>
                    </a:r>
                  </a:p>
                </c:rich>
              </c:tx>
              <c:numFmt formatCode="#,##0_);[Red]\(#,##0\)" sourceLinked="0"/>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41,290</a:t>
                    </a:r>
                  </a:p>
                </c:rich>
              </c:tx>
              <c:numFmt formatCode="#,##0_);[Red]\(#,##0\)" sourceLinked="0"/>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79,796</a:t>
                    </a:r>
                  </a:p>
                </c:rich>
              </c:tx>
              <c:numFmt formatCode="#,##0_);[Red]\(#,##0\)" sourceLinked="0"/>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124,887</a:t>
                    </a:r>
                  </a:p>
                </c:rich>
              </c:tx>
              <c:numFmt formatCode="#,##0_);[Red]\(#,##0\)" sourceLinked="0"/>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165,027</a:t>
                    </a:r>
                  </a:p>
                </c:rich>
              </c:tx>
              <c:numFmt formatCode="#,##0_);[Red]\(#,##0\)" sourceLinked="0"/>
              <c:spPr>
                <a:solidFill>
                  <a:srgbClr val="FFFFFF"/>
                </a:solid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187,801</a:t>
                    </a:r>
                  </a:p>
                </c:rich>
              </c:tx>
              <c:numFmt formatCode="#,##0_);[Red]\(#,##0\)" sourceLinked="0"/>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202,316</a:t>
                    </a:r>
                  </a:p>
                </c:rich>
              </c:tx>
              <c:numFmt formatCode="#,##0_);[Red]\(#,##0\)" sourceLinked="0"/>
              <c:spPr>
                <a:solidFill>
                  <a:srgbClr val="FFFFFF"/>
                </a:solid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215,909</a:t>
                    </a:r>
                  </a:p>
                </c:rich>
              </c:tx>
              <c:numFmt formatCode="#,##0_);[Red]\(#,##0\)" sourceLinked="0"/>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242,021</a:t>
                    </a:r>
                  </a:p>
                </c:rich>
              </c:tx>
              <c:numFmt formatCode="#,##0_);[Red]\(#,##0\)" sourceLinked="0"/>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264,086</a:t>
                    </a:r>
                  </a:p>
                </c:rich>
              </c:tx>
              <c:numFmt formatCode="#,##0_);[Red]\(#,##0\)" sourceLinked="0"/>
              <c:spPr>
                <a:solidFill>
                  <a:srgbClr val="FFFFFF"/>
                </a:solid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0_);[Red]\(#,##0\)" sourceLinked="0"/>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312,212</a:t>
                    </a:r>
                  </a:p>
                </c:rich>
              </c:tx>
              <c:numFmt formatCode="#,##0_);[Red]\(#,##0\)" sourceLinked="0"/>
              <c:spPr>
                <a:solidFill>
                  <a:srgbClr val="FFFFFF"/>
                </a:solidFill>
                <a:ln w="3175">
                  <a:no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_);[Red]\(#,##0\)" sourceLinked="0"/>
              <c:spPr>
                <a:solidFill>
                  <a:srgbClr val="FFFFFF"/>
                </a:solidFill>
                <a:ln w="3175">
                  <a:noFill/>
                </a:ln>
              </c:spPr>
              <c:showLegendKey val="0"/>
              <c:showVal val="1"/>
              <c:showBubbleSize val="0"/>
              <c:showCatName val="0"/>
              <c:showSerName val="0"/>
              <c:showPercent val="0"/>
            </c:dLbl>
            <c:numFmt formatCode="#,##0_);[Red]\(#,##0\)" sourceLinked="0"/>
            <c:spPr>
              <a:solidFill>
                <a:srgbClr val="FFFFFF"/>
              </a:solidFill>
              <a:ln w="3175">
                <a:noFill/>
              </a:ln>
            </c:spPr>
            <c:showLegendKey val="0"/>
            <c:showVal val="1"/>
            <c:showBubbleSize val="0"/>
            <c:showCatName val="0"/>
            <c:showSerName val="0"/>
            <c:showPercent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pt idx="12">
                  <c:v>336163</c:v>
                </c:pt>
              </c:numCache>
            </c:numRef>
          </c:val>
        </c:ser>
        <c:gapWidth val="50"/>
        <c:axId val="63761009"/>
        <c:axId val="36978170"/>
      </c:barChart>
      <c:catAx>
        <c:axId val="63761009"/>
        <c:scaling>
          <c:orientation val="minMax"/>
        </c:scaling>
        <c:axPos val="b"/>
        <c:delete val="0"/>
        <c:numFmt formatCode="General" sourceLinked="1"/>
        <c:majorTickMark val="in"/>
        <c:minorTickMark val="none"/>
        <c:tickLblPos val="nextTo"/>
        <c:spPr>
          <a:ln w="3175">
            <a:solidFill>
              <a:srgbClr val="000000"/>
            </a:solidFill>
          </a:ln>
        </c:spPr>
        <c:crossAx val="36978170"/>
        <c:crosses val="autoZero"/>
        <c:auto val="1"/>
        <c:lblOffset val="100"/>
        <c:tickLblSkip val="1"/>
        <c:noMultiLvlLbl val="0"/>
      </c:catAx>
      <c:valAx>
        <c:axId val="36978170"/>
        <c:scaling>
          <c:orientation val="minMax"/>
        </c:scaling>
        <c:axPos val="l"/>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6376100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pt idx="12">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pt idx="12">
                  <c:v>365477</c:v>
                </c:pt>
              </c:numCache>
            </c:numRef>
          </c:val>
        </c:ser>
        <c:gapWidth val="30"/>
        <c:axId val="64368075"/>
        <c:axId val="42441764"/>
      </c:barChart>
      <c:lineChart>
        <c:grouping val="standard"/>
        <c:varyColors val="0"/>
        <c:ser>
          <c:idx val="2"/>
          <c:order val="2"/>
          <c:tx>
            <c:strRef>
              <c:f>'グラフ元データ(世帯数の推移、人口の推移)'!$D$2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0_);[Red]\(#,##0\)" sourceLinked="0"/>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'グラフ元データ(世帯数の推移、人口の推移)'!$D$3:$D$15</c:f>
              <c:numCache>
                <c:ptCount val="13"/>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pt idx="12">
                  <c:v>716124</c:v>
                </c:pt>
              </c:numCache>
            </c:numRef>
          </c:val>
          <c:smooth val="0"/>
        </c:ser>
        <c:axId val="64368075"/>
        <c:axId val="42441764"/>
      </c:lineChart>
      <c:catAx>
        <c:axId val="643680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42441764"/>
        <c:crosses val="autoZero"/>
        <c:auto val="1"/>
        <c:lblOffset val="100"/>
        <c:tickLblSkip val="1"/>
        <c:noMultiLvlLbl val="0"/>
      </c:catAx>
      <c:valAx>
        <c:axId val="42441764"/>
        <c:scaling>
          <c:orientation val="minMax"/>
        </c:scaling>
        <c:axPos val="l"/>
        <c:majorGridlines>
          <c:spPr>
            <a:ln w="3175">
              <a:solidFill>
                <a:srgbClr val="FFFFFF"/>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64368075"/>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643,687</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530,628</a:t>
                    </a:r>
                    <a:r>
                      <a:rPr lang="en-US" cap="none" sz="900" b="0" i="0" u="none" baseline="0">
                        <a:solidFill>
                          <a:srgbClr val="000000"/>
                        </a:solidFill>
                      </a:rPr>
                      <a:t> </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46431557"/>
        <c:axId val="15230830"/>
      </c:barChart>
      <c:catAx>
        <c:axId val="46431557"/>
        <c:scaling>
          <c:orientation val="minMax"/>
        </c:scaling>
        <c:axPos val="b"/>
        <c:delete val="0"/>
        <c:numFmt formatCode="General" sourceLinked="1"/>
        <c:majorTickMark val="in"/>
        <c:minorTickMark val="none"/>
        <c:tickLblPos val="nextTo"/>
        <c:spPr>
          <a:ln w="3175">
            <a:solidFill>
              <a:srgbClr val="000000"/>
            </a:solidFill>
          </a:ln>
        </c:spPr>
        <c:crossAx val="15230830"/>
        <c:crosses val="autoZero"/>
        <c:auto val="1"/>
        <c:lblOffset val="100"/>
        <c:tickLblSkip val="1"/>
        <c:noMultiLvlLbl val="0"/>
      </c:catAx>
      <c:valAx>
        <c:axId val="152308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431557"/>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900" b="0" i="0" u="none" baseline="0">
                        <a:solidFill>
                          <a:srgbClr val="000000"/>
                        </a:solidFill>
                      </a:rPr>
                      <a:t>83,285</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dLbl>
              <c:idx val="10"/>
              <c:tx>
                <c:rich>
                  <a:bodyPr vert="horz" rot="0" anchor="ctr"/>
                  <a:lstStyle/>
                  <a:p>
                    <a:pPr algn="ctr">
                      <a:defRPr/>
                    </a:pPr>
                    <a:r>
                      <a:rPr lang="en-US" cap="none" sz="900" b="0" i="0" u="none" baseline="0">
                        <a:solidFill>
                          <a:srgbClr val="000000"/>
                        </a:solidFill>
                      </a:rPr>
                      <a:t>196,344</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2859743"/>
        <c:axId val="25737688"/>
      </c:lineChart>
      <c:catAx>
        <c:axId val="2859743"/>
        <c:scaling>
          <c:orientation val="minMax"/>
        </c:scaling>
        <c:axPos val="b"/>
        <c:delete val="0"/>
        <c:numFmt formatCode="General" sourceLinked="1"/>
        <c:majorTickMark val="in"/>
        <c:minorTickMark val="none"/>
        <c:tickLblPos val="nextTo"/>
        <c:spPr>
          <a:ln w="3175">
            <a:solidFill>
              <a:srgbClr val="000000"/>
            </a:solidFill>
          </a:ln>
        </c:spPr>
        <c:crossAx val="25737688"/>
        <c:crosses val="autoZero"/>
        <c:auto val="1"/>
        <c:lblOffset val="100"/>
        <c:tickLblSkip val="1"/>
        <c:noMultiLvlLbl val="0"/>
      </c:catAx>
      <c:valAx>
        <c:axId val="257376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59743"/>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
          <c:y val="0.134"/>
          <c:w val="0.63775"/>
          <c:h val="0.842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90">
                <a:fgClr>
                  <a:srgbClr val="000000"/>
                </a:fgClr>
                <a:bgClr>
                  <a:srgbClr val="FFFFFF"/>
                </a:bgClr>
              </a:patt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pct50">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
                <c:rich>
                  <a:bodyPr vert="horz" rot="0" anchor="ctr"/>
                  <a:lstStyle/>
                  <a:p>
                    <a:pPr algn="l">
                      <a:defRPr/>
                    </a:pPr>
                    <a:r>
                      <a:rPr lang="en-US" cap="none" sz="800" b="0" i="0" u="none" baseline="0">
                        <a:solidFill>
                          <a:srgbClr val="000000"/>
                        </a:solidFill>
                      </a:rPr>
                      <a:t>分類不能の産業</a:t>
                    </a:r>
                    <a:r>
                      <a:rPr lang="en-US" cap="none" sz="800" b="0" i="0" u="none" baseline="0">
                        <a:solidFill>
                          <a:srgbClr val="000000"/>
                        </a:solidFill>
                      </a:rPr>
                      <a:t> 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
                <c:rich>
                  <a:bodyPr vert="horz" rot="0" anchor="ctr"/>
                  <a:lstStyle/>
                  <a:p>
                    <a:pPr algn="ctr">
                      <a:defRPr/>
                    </a:pPr>
                    <a:r>
                      <a:rPr lang="en-US" cap="none" sz="875" b="0" i="0" u="none" baseline="0">
                        <a:solidFill>
                          <a:srgbClr val="000000"/>
                        </a:solidFill>
                      </a:rPr>
                      <a:t>447,343</a:t>
                    </a:r>
                    <a:r>
                      <a:rPr lang="en-US" cap="none" sz="875" b="0" i="0" u="none" baseline="0">
                        <a:solidFill>
                          <a:srgbClr val="000000"/>
                        </a:solidFill>
                      </a:rPr>
                      <a:t> </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214569</c:v>
                </c:pt>
                <c:pt idx="2">
                  <c:v>293265</c:v>
                </c:pt>
                <c:pt idx="3">
                  <c:v>356420</c:v>
                </c:pt>
                <c:pt idx="4">
                  <c:v>376283</c:v>
                </c:pt>
                <c:pt idx="5">
                  <c:v>366418</c:v>
                </c:pt>
                <c:pt idx="6">
                  <c:v>370753</c:v>
                </c:pt>
                <c:pt idx="7">
                  <c:v>372707</c:v>
                </c:pt>
                <c:pt idx="8">
                  <c:v>385998</c:v>
                </c:pt>
                <c:pt idx="9">
                  <c:v>421630</c:v>
                </c:pt>
                <c:pt idx="10">
                  <c:v>447343</c:v>
                </c:pt>
              </c:numCache>
            </c:numRef>
          </c:val>
        </c:ser>
        <c:gapWidth val="50"/>
        <c:axId val="30312601"/>
        <c:axId val="4377954"/>
      </c:barChart>
      <c:catAx>
        <c:axId val="303126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77954"/>
        <c:crosses val="autoZero"/>
        <c:auto val="1"/>
        <c:lblOffset val="100"/>
        <c:tickLblSkip val="1"/>
        <c:noMultiLvlLbl val="0"/>
      </c:catAx>
      <c:valAx>
        <c:axId val="43779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0312601"/>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676275</xdr:colOff>
      <xdr:row>75</xdr:row>
      <xdr:rowOff>95250</xdr:rowOff>
    </xdr:to>
    <xdr:graphicFrame>
      <xdr:nvGraphicFramePr>
        <xdr:cNvPr id="2" name="Chart 2"/>
        <xdr:cNvGraphicFramePr/>
      </xdr:nvGraphicFramePr>
      <xdr:xfrm>
        <a:off x="123825" y="5800725"/>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5</xdr:col>
      <xdr:colOff>504825</xdr:colOff>
      <xdr:row>69</xdr:row>
      <xdr:rowOff>38100</xdr:rowOff>
    </xdr:to>
    <xdr:grpSp>
      <xdr:nvGrpSpPr>
        <xdr:cNvPr id="1" name="Group 251"/>
        <xdr:cNvGrpSpPr>
          <a:grpSpLocks/>
        </xdr:cNvGrpSpPr>
      </xdr:nvGrpSpPr>
      <xdr:grpSpPr>
        <a:xfrm>
          <a:off x="0" y="7029450"/>
          <a:ext cx="3371850" cy="2571750"/>
          <a:chOff x="0" y="761"/>
          <a:chExt cx="354" cy="270"/>
        </a:xfrm>
        <a:solidFill>
          <a:srgbClr val="FFFFFF"/>
        </a:solidFill>
      </xdr:grpSpPr>
      <xdr:graphicFrame>
        <xdr:nvGraphicFramePr>
          <xdr:cNvPr id="2" name="グラフ 245"/>
          <xdr:cNvGraphicFramePr/>
        </xdr:nvGraphicFramePr>
        <xdr:xfrm>
          <a:off x="0" y="761"/>
          <a:ext cx="354" cy="270"/>
        </xdr:xfrm>
        <a:graphic>
          <a:graphicData uri="http://schemas.openxmlformats.org/drawingml/2006/chart">
            <c:chart xmlns:c="http://schemas.openxmlformats.org/drawingml/2006/chart" r:id="rId1"/>
          </a:graphicData>
        </a:graphic>
      </xdr:graphicFrame>
      <xdr:grpSp>
        <xdr:nvGrpSpPr>
          <xdr:cNvPr id="3" name="Group 7"/>
          <xdr:cNvGrpSpPr>
            <a:grpSpLocks/>
          </xdr:cNvGrpSpPr>
        </xdr:nvGrpSpPr>
        <xdr:grpSpPr>
          <a:xfrm>
            <a:off x="121" y="874"/>
            <a:ext cx="68" cy="68"/>
            <a:chOff x="150" y="847"/>
            <a:chExt cx="72" cy="72"/>
          </a:xfrm>
          <a:solidFill>
            <a:srgbClr val="FFFFFF"/>
          </a:solidFill>
        </xdr:grpSpPr>
        <xdr:sp>
          <xdr:nvSpPr>
            <xdr:cNvPr id="4" name="Oval 8"/>
            <xdr:cNvSpPr>
              <a:spLocks/>
            </xdr:cNvSpPr>
          </xdr:nvSpPr>
          <xdr:spPr>
            <a:xfrm>
              <a:off x="150" y="847"/>
              <a:ext cx="72" cy="72"/>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9"/>
            <xdr:cNvSpPr txBox="1">
              <a:spLocks noChangeArrowheads="1"/>
            </xdr:cNvSpPr>
          </xdr:nvSpPr>
          <xdr:spPr>
            <a:xfrm>
              <a:off x="160" y="867"/>
              <a:ext cx="47" cy="35"/>
            </a:xfrm>
            <a:prstGeom prst="rect">
              <a:avLst/>
            </a:prstGeom>
            <a:noFill/>
            <a:ln w="0" cmpd="sng">
              <a:solidFill>
                <a:srgbClr val="000000"/>
              </a:solidFill>
              <a:headEnd type="none"/>
              <a:tailEnd type="none"/>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grpSp>
    <xdr:clientData/>
  </xdr:twoCellAnchor>
  <xdr:twoCellAnchor>
    <xdr:from>
      <xdr:col>5</xdr:col>
      <xdr:colOff>38100</xdr:colOff>
      <xdr:row>44</xdr:row>
      <xdr:rowOff>9525</xdr:rowOff>
    </xdr:from>
    <xdr:to>
      <xdr:col>11</xdr:col>
      <xdr:colOff>619125</xdr:colOff>
      <xdr:row>77</xdr:row>
      <xdr:rowOff>95250</xdr:rowOff>
    </xdr:to>
    <xdr:graphicFrame>
      <xdr:nvGraphicFramePr>
        <xdr:cNvPr id="6" name="Chart 1"/>
        <xdr:cNvGraphicFramePr/>
      </xdr:nvGraphicFramePr>
      <xdr:xfrm>
        <a:off x="2905125" y="6210300"/>
        <a:ext cx="4695825" cy="4514850"/>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9525</xdr:colOff>
      <xdr:row>4</xdr:row>
      <xdr:rowOff>38100</xdr:rowOff>
    </xdr:from>
    <xdr:to>
      <xdr:col>11</xdr:col>
      <xdr:colOff>609600</xdr:colOff>
      <xdr:row>41</xdr:row>
      <xdr:rowOff>104775</xdr:rowOff>
    </xdr:to>
    <xdr:graphicFrame>
      <xdr:nvGraphicFramePr>
        <xdr:cNvPr id="7"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8" name="Group 4"/>
        <xdr:cNvGrpSpPr>
          <a:grpSpLocks/>
        </xdr:cNvGrpSpPr>
      </xdr:nvGrpSpPr>
      <xdr:grpSpPr>
        <a:xfrm>
          <a:off x="4943475" y="8210550"/>
          <a:ext cx="752475" cy="762000"/>
          <a:chOff x="518" y="866"/>
          <a:chExt cx="79" cy="79"/>
        </a:xfrm>
        <a:solidFill>
          <a:srgbClr val="FFFFFF"/>
        </a:solidFill>
      </xdr:grpSpPr>
      <xdr:sp>
        <xdr:nvSpPr>
          <xdr:cNvPr id="9"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6"/>
          <xdr:cNvSpPr txBox="1">
            <a:spLocks noChangeArrowheads="1"/>
          </xdr:cNvSpPr>
        </xdr:nvSpPr>
        <xdr:spPr>
          <a:xfrm>
            <a:off x="535" y="888"/>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1"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C9" sqref="C9:BI12"/>
    </sheetView>
  </sheetViews>
  <sheetFormatPr defaultColWidth="9.00390625" defaultRowHeight="13.5"/>
  <cols>
    <col min="1" max="63" width="1.625" style="71" customWidth="1"/>
    <col min="64" max="16384" width="9.00390625" style="7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42" t="s">
        <v>149</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row>
    <row r="10" spans="3:61" ht="15.75" customHeight="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row>
    <row r="11" spans="3:61" ht="15.75" customHeight="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row>
    <row r="12" spans="3:61" ht="15.75" customHeight="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20" ht="10.5" customHeight="1">
      <c r="A1" s="331" t="s">
        <v>551</v>
      </c>
      <c r="R1" s="70"/>
      <c r="S1" s="70"/>
      <c r="T1" s="3"/>
    </row>
    <row r="2" ht="10.5" customHeight="1"/>
    <row r="3" spans="2:19" s="38" customFormat="1" ht="18" customHeight="1">
      <c r="B3" s="445" t="s">
        <v>515</v>
      </c>
      <c r="C3" s="445"/>
      <c r="D3" s="445"/>
      <c r="E3" s="445"/>
      <c r="F3" s="445"/>
      <c r="G3" s="445"/>
      <c r="H3" s="445"/>
      <c r="I3" s="445"/>
      <c r="J3" s="445"/>
      <c r="K3" s="445"/>
      <c r="L3" s="445"/>
      <c r="M3" s="445"/>
      <c r="N3" s="445"/>
      <c r="O3" s="445"/>
      <c r="P3" s="445"/>
      <c r="Q3" s="445"/>
      <c r="R3" s="445"/>
      <c r="S3" s="445"/>
    </row>
    <row r="4" spans="2:19" ht="12.75" customHeight="1">
      <c r="B4" s="29"/>
      <c r="R4" s="29"/>
      <c r="S4" s="29"/>
    </row>
    <row r="5" spans="2:20" ht="13.5" customHeight="1">
      <c r="B5" s="475" t="s">
        <v>284</v>
      </c>
      <c r="C5" s="476"/>
      <c r="D5" s="476"/>
      <c r="E5" s="476"/>
      <c r="F5" s="476"/>
      <c r="G5" s="476"/>
      <c r="H5" s="476"/>
      <c r="I5" s="476"/>
      <c r="J5" s="477"/>
      <c r="K5" s="476" t="s">
        <v>185</v>
      </c>
      <c r="L5" s="476" t="s">
        <v>175</v>
      </c>
      <c r="M5" s="476"/>
      <c r="N5" s="476"/>
      <c r="O5" s="179" t="s">
        <v>179</v>
      </c>
      <c r="P5" s="179" t="s">
        <v>348</v>
      </c>
      <c r="Q5" s="476" t="s">
        <v>285</v>
      </c>
      <c r="R5" s="476"/>
      <c r="S5" s="183" t="s">
        <v>500</v>
      </c>
      <c r="T5" s="50"/>
    </row>
    <row r="6" spans="2:20" ht="13.5" customHeight="1">
      <c r="B6" s="478"/>
      <c r="C6" s="479"/>
      <c r="D6" s="479"/>
      <c r="E6" s="479"/>
      <c r="F6" s="479"/>
      <c r="G6" s="479"/>
      <c r="H6" s="479"/>
      <c r="I6" s="479"/>
      <c r="J6" s="480"/>
      <c r="K6" s="479"/>
      <c r="L6" s="145" t="s">
        <v>363</v>
      </c>
      <c r="M6" s="160" t="s">
        <v>182</v>
      </c>
      <c r="N6" s="160" t="s">
        <v>183</v>
      </c>
      <c r="O6" s="180" t="s">
        <v>184</v>
      </c>
      <c r="P6" s="180" t="s">
        <v>508</v>
      </c>
      <c r="Q6" s="145" t="s">
        <v>286</v>
      </c>
      <c r="R6" s="146" t="s">
        <v>287</v>
      </c>
      <c r="S6" s="184" t="s">
        <v>511</v>
      </c>
      <c r="T6" s="50"/>
    </row>
    <row r="7" spans="3:23" ht="10.5" customHeight="1">
      <c r="C7" s="39"/>
      <c r="D7" s="39"/>
      <c r="E7" s="39"/>
      <c r="F7" s="39"/>
      <c r="G7" s="39"/>
      <c r="H7" s="39"/>
      <c r="I7" s="39"/>
      <c r="J7" s="307"/>
      <c r="K7" s="224"/>
      <c r="L7" s="28"/>
      <c r="M7" s="39"/>
      <c r="N7" s="39"/>
      <c r="O7" s="28"/>
      <c r="P7" s="28"/>
      <c r="Q7" s="39"/>
      <c r="R7" s="1" t="s">
        <v>512</v>
      </c>
      <c r="S7" s="50"/>
      <c r="T7" s="28"/>
      <c r="V7" s="39"/>
      <c r="W7" s="39"/>
    </row>
    <row r="8" spans="10:25" ht="6.75" customHeight="1">
      <c r="J8" s="149"/>
      <c r="K8" s="29"/>
      <c r="L8" s="29"/>
      <c r="M8" s="29"/>
      <c r="N8" s="29"/>
      <c r="O8" s="29"/>
      <c r="P8" s="29"/>
      <c r="Q8" s="29"/>
      <c r="R8" s="29"/>
      <c r="S8" s="29"/>
      <c r="V8" s="29"/>
      <c r="W8" s="29"/>
      <c r="X8" s="29"/>
      <c r="Y8" s="29"/>
    </row>
    <row r="9" spans="3:25" s="30" customFormat="1" ht="10.5" customHeight="1">
      <c r="C9" s="487" t="s">
        <v>332</v>
      </c>
      <c r="D9" s="487"/>
      <c r="E9" s="487"/>
      <c r="F9" s="487"/>
      <c r="G9" s="487"/>
      <c r="H9" s="487"/>
      <c r="I9" s="487"/>
      <c r="J9" s="299"/>
      <c r="K9" s="102">
        <v>7383</v>
      </c>
      <c r="L9" s="102">
        <v>16672</v>
      </c>
      <c r="M9" s="102">
        <v>8323</v>
      </c>
      <c r="N9" s="102">
        <v>8349</v>
      </c>
      <c r="O9" s="112">
        <f aca="true" t="shared" si="0" ref="O9:O15">SUM(L9/Y9)</f>
        <v>14249.57264957265</v>
      </c>
      <c r="P9" s="98">
        <f aca="true" t="shared" si="1" ref="P9:P15">ROUND(L9/K9,2)</f>
        <v>2.26</v>
      </c>
      <c r="Q9" s="96">
        <f aca="true" t="shared" si="2" ref="Q9:Q15">SUM(L9-S9)</f>
        <v>384</v>
      </c>
      <c r="R9" s="99">
        <f aca="true" t="shared" si="3" ref="R9:R15">ROUND((Q9/S9)*100,2)</f>
        <v>2.36</v>
      </c>
      <c r="S9" s="102">
        <v>16288</v>
      </c>
      <c r="V9" s="481" t="s">
        <v>332</v>
      </c>
      <c r="W9" s="481"/>
      <c r="X9" s="110">
        <f>SUM(X10:X15)</f>
        <v>1.167</v>
      </c>
      <c r="Y9" s="301">
        <f aca="true" t="shared" si="4" ref="Y9:Y15">ROUND(X9,2)</f>
        <v>1.17</v>
      </c>
    </row>
    <row r="10" spans="3:25" ht="10.5" customHeight="1">
      <c r="C10" s="65"/>
      <c r="D10" s="65"/>
      <c r="E10" s="65"/>
      <c r="F10" s="486" t="s">
        <v>289</v>
      </c>
      <c r="G10" s="486"/>
      <c r="H10" s="486"/>
      <c r="I10" s="486"/>
      <c r="J10" s="305"/>
      <c r="K10" s="103">
        <v>949</v>
      </c>
      <c r="L10" s="103">
        <v>2270</v>
      </c>
      <c r="M10" s="103">
        <v>1084</v>
      </c>
      <c r="N10" s="103">
        <v>1186</v>
      </c>
      <c r="O10" s="113">
        <f t="shared" si="0"/>
        <v>13352.941176470587</v>
      </c>
      <c r="P10" s="62">
        <f t="shared" si="1"/>
        <v>2.39</v>
      </c>
      <c r="Q10" s="54">
        <f t="shared" si="2"/>
        <v>-21</v>
      </c>
      <c r="R10" s="63">
        <f t="shared" si="3"/>
        <v>-0.92</v>
      </c>
      <c r="S10" s="103">
        <v>2291</v>
      </c>
      <c r="V10" s="59"/>
      <c r="W10" s="82" t="s">
        <v>289</v>
      </c>
      <c r="X10" s="111">
        <v>0.166</v>
      </c>
      <c r="Y10" s="302">
        <f t="shared" si="4"/>
        <v>0.17</v>
      </c>
    </row>
    <row r="11" spans="3:25" ht="10.5" customHeight="1">
      <c r="C11" s="65"/>
      <c r="D11" s="65"/>
      <c r="E11" s="65"/>
      <c r="F11" s="486" t="s">
        <v>290</v>
      </c>
      <c r="G11" s="486"/>
      <c r="H11" s="486"/>
      <c r="I11" s="486"/>
      <c r="J11" s="305"/>
      <c r="K11" s="103">
        <v>1336</v>
      </c>
      <c r="L11" s="103">
        <v>3121</v>
      </c>
      <c r="M11" s="103">
        <v>1573</v>
      </c>
      <c r="N11" s="103">
        <v>1548</v>
      </c>
      <c r="O11" s="113">
        <f t="shared" si="0"/>
        <v>14861.904761904763</v>
      </c>
      <c r="P11" s="62">
        <f t="shared" si="1"/>
        <v>2.34</v>
      </c>
      <c r="Q11" s="54">
        <f t="shared" si="2"/>
        <v>55</v>
      </c>
      <c r="R11" s="63">
        <f t="shared" si="3"/>
        <v>1.79</v>
      </c>
      <c r="S11" s="103">
        <v>3066</v>
      </c>
      <c r="V11" s="59"/>
      <c r="W11" s="82" t="s">
        <v>290</v>
      </c>
      <c r="X11" s="111">
        <v>0.214</v>
      </c>
      <c r="Y11" s="302">
        <f t="shared" si="4"/>
        <v>0.21</v>
      </c>
    </row>
    <row r="12" spans="3:25" ht="10.5" customHeight="1">
      <c r="C12" s="65"/>
      <c r="D12" s="65"/>
      <c r="E12" s="65"/>
      <c r="F12" s="486" t="s">
        <v>294</v>
      </c>
      <c r="G12" s="486"/>
      <c r="H12" s="486"/>
      <c r="I12" s="486"/>
      <c r="J12" s="305"/>
      <c r="K12" s="103">
        <v>808</v>
      </c>
      <c r="L12" s="103">
        <v>2027</v>
      </c>
      <c r="M12" s="103">
        <v>1015</v>
      </c>
      <c r="N12" s="103">
        <v>1012</v>
      </c>
      <c r="O12" s="113">
        <f t="shared" si="0"/>
        <v>11923.529411764704</v>
      </c>
      <c r="P12" s="62">
        <f t="shared" si="1"/>
        <v>2.51</v>
      </c>
      <c r="Q12" s="54">
        <f t="shared" si="2"/>
        <v>216</v>
      </c>
      <c r="R12" s="63">
        <f t="shared" si="3"/>
        <v>11.93</v>
      </c>
      <c r="S12" s="103">
        <v>1811</v>
      </c>
      <c r="V12" s="59"/>
      <c r="W12" s="82" t="s">
        <v>294</v>
      </c>
      <c r="X12" s="111">
        <v>0.173</v>
      </c>
      <c r="Y12" s="302">
        <f t="shared" si="4"/>
        <v>0.17</v>
      </c>
    </row>
    <row r="13" spans="3:25" ht="10.5" customHeight="1">
      <c r="C13" s="65"/>
      <c r="D13" s="65"/>
      <c r="E13" s="65"/>
      <c r="F13" s="486" t="s">
        <v>297</v>
      </c>
      <c r="G13" s="486"/>
      <c r="H13" s="486"/>
      <c r="I13" s="486"/>
      <c r="J13" s="305"/>
      <c r="K13" s="103">
        <v>1793</v>
      </c>
      <c r="L13" s="103">
        <v>3438</v>
      </c>
      <c r="M13" s="103">
        <v>1731</v>
      </c>
      <c r="N13" s="103">
        <v>1707</v>
      </c>
      <c r="O13" s="113">
        <f t="shared" si="0"/>
        <v>14947.826086956522</v>
      </c>
      <c r="P13" s="62">
        <f t="shared" si="1"/>
        <v>1.92</v>
      </c>
      <c r="Q13" s="54">
        <f t="shared" si="2"/>
        <v>-59</v>
      </c>
      <c r="R13" s="63">
        <f t="shared" si="3"/>
        <v>-1.69</v>
      </c>
      <c r="S13" s="103">
        <v>3497</v>
      </c>
      <c r="V13" s="59"/>
      <c r="W13" s="82" t="s">
        <v>297</v>
      </c>
      <c r="X13" s="111">
        <v>0.225</v>
      </c>
      <c r="Y13" s="302">
        <f t="shared" si="4"/>
        <v>0.23</v>
      </c>
    </row>
    <row r="14" spans="3:25" ht="10.5" customHeight="1">
      <c r="C14" s="65"/>
      <c r="D14" s="65"/>
      <c r="E14" s="65"/>
      <c r="F14" s="486" t="s">
        <v>300</v>
      </c>
      <c r="G14" s="486"/>
      <c r="H14" s="486"/>
      <c r="I14" s="486"/>
      <c r="J14" s="305"/>
      <c r="K14" s="103">
        <v>1111</v>
      </c>
      <c r="L14" s="103">
        <v>2423</v>
      </c>
      <c r="M14" s="103">
        <v>1209</v>
      </c>
      <c r="N14" s="103">
        <v>1214</v>
      </c>
      <c r="O14" s="113">
        <f t="shared" si="0"/>
        <v>15143.75</v>
      </c>
      <c r="P14" s="62">
        <f t="shared" si="1"/>
        <v>2.18</v>
      </c>
      <c r="Q14" s="54">
        <f t="shared" si="2"/>
        <v>154</v>
      </c>
      <c r="R14" s="63">
        <f t="shared" si="3"/>
        <v>6.79</v>
      </c>
      <c r="S14" s="103">
        <v>2269</v>
      </c>
      <c r="V14" s="59"/>
      <c r="W14" s="82" t="s">
        <v>300</v>
      </c>
      <c r="X14" s="111">
        <v>0.159</v>
      </c>
      <c r="Y14" s="302">
        <f t="shared" si="4"/>
        <v>0.16</v>
      </c>
    </row>
    <row r="15" spans="3:25" ht="10.5" customHeight="1">
      <c r="C15" s="65"/>
      <c r="D15" s="65"/>
      <c r="E15" s="65"/>
      <c r="F15" s="486" t="s">
        <v>301</v>
      </c>
      <c r="G15" s="486"/>
      <c r="H15" s="486"/>
      <c r="I15" s="486"/>
      <c r="J15" s="305"/>
      <c r="K15" s="103">
        <v>1386</v>
      </c>
      <c r="L15" s="103">
        <v>3393</v>
      </c>
      <c r="M15" s="103">
        <v>1711</v>
      </c>
      <c r="N15" s="103">
        <v>1682</v>
      </c>
      <c r="O15" s="113">
        <f t="shared" si="0"/>
        <v>14752.173913043478</v>
      </c>
      <c r="P15" s="62">
        <f t="shared" si="1"/>
        <v>2.45</v>
      </c>
      <c r="Q15" s="54">
        <f t="shared" si="2"/>
        <v>39</v>
      </c>
      <c r="R15" s="63">
        <f t="shared" si="3"/>
        <v>1.16</v>
      </c>
      <c r="S15" s="103">
        <v>3354</v>
      </c>
      <c r="V15" s="59"/>
      <c r="W15" s="82" t="s">
        <v>301</v>
      </c>
      <c r="X15" s="111">
        <v>0.23</v>
      </c>
      <c r="Y15" s="302">
        <f t="shared" si="4"/>
        <v>0.23</v>
      </c>
    </row>
    <row r="16" spans="3:25" ht="6.75" customHeight="1">
      <c r="C16" s="65"/>
      <c r="D16" s="65"/>
      <c r="E16" s="65"/>
      <c r="F16" s="65"/>
      <c r="G16" s="65"/>
      <c r="H16" s="65"/>
      <c r="I16" s="65"/>
      <c r="J16" s="305"/>
      <c r="K16" s="103"/>
      <c r="L16" s="103"/>
      <c r="M16" s="103"/>
      <c r="N16" s="103"/>
      <c r="O16" s="113"/>
      <c r="P16" s="62"/>
      <c r="Q16" s="54"/>
      <c r="R16" s="63"/>
      <c r="S16" s="103"/>
      <c r="V16" s="59"/>
      <c r="W16" s="59"/>
      <c r="X16" s="111"/>
      <c r="Y16" s="302"/>
    </row>
    <row r="17" spans="3:25" s="30" customFormat="1" ht="10.5" customHeight="1">
      <c r="C17" s="487" t="s">
        <v>333</v>
      </c>
      <c r="D17" s="487"/>
      <c r="E17" s="487"/>
      <c r="F17" s="487"/>
      <c r="G17" s="487"/>
      <c r="H17" s="487"/>
      <c r="I17" s="487"/>
      <c r="J17" s="299"/>
      <c r="K17" s="102">
        <v>1989</v>
      </c>
      <c r="L17" s="102">
        <v>4323</v>
      </c>
      <c r="M17" s="102">
        <v>2071</v>
      </c>
      <c r="N17" s="102">
        <v>2252</v>
      </c>
      <c r="O17" s="112">
        <f>SUM(L17/Y17)</f>
        <v>12008.333333333334</v>
      </c>
      <c r="P17" s="98">
        <f>ROUND(L17/K17,2)</f>
        <v>2.17</v>
      </c>
      <c r="Q17" s="96">
        <f>SUM(L17-S17)</f>
        <v>45</v>
      </c>
      <c r="R17" s="99">
        <f>ROUND((Q17/S17)*100,2)</f>
        <v>1.05</v>
      </c>
      <c r="S17" s="102">
        <v>4278</v>
      </c>
      <c r="V17" s="481" t="s">
        <v>333</v>
      </c>
      <c r="W17" s="481"/>
      <c r="X17" s="110">
        <v>0.358</v>
      </c>
      <c r="Y17" s="301">
        <f>ROUND(X17,2)</f>
        <v>0.36</v>
      </c>
    </row>
    <row r="18" spans="3:25" ht="6.75" customHeight="1">
      <c r="C18" s="59"/>
      <c r="D18" s="59"/>
      <c r="E18" s="59"/>
      <c r="F18" s="59"/>
      <c r="G18" s="59"/>
      <c r="H18" s="59"/>
      <c r="I18" s="59"/>
      <c r="J18" s="305"/>
      <c r="K18" s="103"/>
      <c r="L18" s="103"/>
      <c r="M18" s="103"/>
      <c r="N18" s="103"/>
      <c r="O18" s="113"/>
      <c r="P18" s="62"/>
      <c r="Q18" s="54"/>
      <c r="R18" s="63"/>
      <c r="S18" s="103"/>
      <c r="V18" s="59"/>
      <c r="W18" s="59"/>
      <c r="X18" s="111"/>
      <c r="Y18" s="302"/>
    </row>
    <row r="19" spans="3:25" s="30" customFormat="1" ht="10.5" customHeight="1">
      <c r="C19" s="487" t="s">
        <v>334</v>
      </c>
      <c r="D19" s="487"/>
      <c r="E19" s="487"/>
      <c r="F19" s="487"/>
      <c r="G19" s="487"/>
      <c r="H19" s="487"/>
      <c r="I19" s="487"/>
      <c r="J19" s="299"/>
      <c r="K19" s="102">
        <v>2660</v>
      </c>
      <c r="L19" s="102">
        <v>5365</v>
      </c>
      <c r="M19" s="102">
        <v>2721</v>
      </c>
      <c r="N19" s="102">
        <v>2644</v>
      </c>
      <c r="O19" s="112">
        <f>SUM(L19/Y19)</f>
        <v>16765.625</v>
      </c>
      <c r="P19" s="98">
        <f>ROUND(L19/K19,2)</f>
        <v>2.02</v>
      </c>
      <c r="Q19" s="96">
        <f>SUM(L19-S19)</f>
        <v>765</v>
      </c>
      <c r="R19" s="99">
        <f>ROUND((Q19/S19)*100,2)</f>
        <v>16.63</v>
      </c>
      <c r="S19" s="102">
        <v>4600</v>
      </c>
      <c r="V19" s="481" t="s">
        <v>334</v>
      </c>
      <c r="W19" s="481"/>
      <c r="X19" s="110">
        <f>SUM(X20:X21)</f>
        <v>0.319</v>
      </c>
      <c r="Y19" s="301">
        <f>ROUND(X19,2)</f>
        <v>0.32</v>
      </c>
    </row>
    <row r="20" spans="3:25" ht="10.5" customHeight="1">
      <c r="C20" s="65"/>
      <c r="D20" s="65"/>
      <c r="E20" s="65"/>
      <c r="F20" s="486" t="s">
        <v>289</v>
      </c>
      <c r="G20" s="486"/>
      <c r="H20" s="486"/>
      <c r="I20" s="486"/>
      <c r="J20" s="305"/>
      <c r="K20" s="103">
        <v>1797</v>
      </c>
      <c r="L20" s="103">
        <v>3819</v>
      </c>
      <c r="M20" s="103">
        <v>1903</v>
      </c>
      <c r="N20" s="103">
        <v>1916</v>
      </c>
      <c r="O20" s="113">
        <f>SUM(L20/Y20)</f>
        <v>17359.090909090908</v>
      </c>
      <c r="P20" s="62">
        <f>ROUND(L20/K20,2)</f>
        <v>2.13</v>
      </c>
      <c r="Q20" s="54">
        <f>SUM(L20-S20)</f>
        <v>363</v>
      </c>
      <c r="R20" s="63">
        <f>ROUND((Q20/S20)*100,2)</f>
        <v>10.5</v>
      </c>
      <c r="S20" s="103">
        <v>3456</v>
      </c>
      <c r="V20" s="59"/>
      <c r="W20" s="82" t="s">
        <v>289</v>
      </c>
      <c r="X20" s="111">
        <v>0.223</v>
      </c>
      <c r="Y20" s="302">
        <f>ROUND(X20,2)</f>
        <v>0.22</v>
      </c>
    </row>
    <row r="21" spans="3:25" ht="10.5" customHeight="1">
      <c r="C21" s="65"/>
      <c r="D21" s="65"/>
      <c r="E21" s="65"/>
      <c r="F21" s="486" t="s">
        <v>290</v>
      </c>
      <c r="G21" s="486"/>
      <c r="H21" s="486"/>
      <c r="I21" s="486"/>
      <c r="J21" s="305"/>
      <c r="K21" s="103">
        <v>863</v>
      </c>
      <c r="L21" s="103">
        <v>1546</v>
      </c>
      <c r="M21" s="103">
        <v>818</v>
      </c>
      <c r="N21" s="103">
        <v>728</v>
      </c>
      <c r="O21" s="113">
        <f>SUM(L21/Y21)</f>
        <v>15460</v>
      </c>
      <c r="P21" s="62">
        <f>ROUND(L21/K21,2)</f>
        <v>1.79</v>
      </c>
      <c r="Q21" s="54">
        <f>SUM(L21-S21)</f>
        <v>402</v>
      </c>
      <c r="R21" s="63">
        <f>ROUND((Q21/S21)*100,2)</f>
        <v>35.14</v>
      </c>
      <c r="S21" s="103">
        <v>1144</v>
      </c>
      <c r="V21" s="59"/>
      <c r="W21" s="82" t="s">
        <v>290</v>
      </c>
      <c r="X21" s="111">
        <v>0.096</v>
      </c>
      <c r="Y21" s="302">
        <f>ROUND(X21,2)</f>
        <v>0.1</v>
      </c>
    </row>
    <row r="22" spans="3:25" ht="6.75" customHeight="1">
      <c r="C22" s="59"/>
      <c r="D22" s="59"/>
      <c r="E22" s="59"/>
      <c r="F22" s="59"/>
      <c r="G22" s="59"/>
      <c r="H22" s="59"/>
      <c r="I22" s="59"/>
      <c r="J22" s="305"/>
      <c r="K22" s="103"/>
      <c r="L22" s="103"/>
      <c r="M22" s="103"/>
      <c r="N22" s="103"/>
      <c r="O22" s="113"/>
      <c r="P22" s="62"/>
      <c r="Q22" s="54"/>
      <c r="R22" s="63"/>
      <c r="S22" s="103"/>
      <c r="V22" s="59"/>
      <c r="W22" s="59"/>
      <c r="X22" s="111"/>
      <c r="Y22" s="302"/>
    </row>
    <row r="23" spans="3:25" s="30" customFormat="1" ht="10.5" customHeight="1">
      <c r="C23" s="487" t="s">
        <v>335</v>
      </c>
      <c r="D23" s="487"/>
      <c r="E23" s="487"/>
      <c r="F23" s="487"/>
      <c r="G23" s="487"/>
      <c r="H23" s="487"/>
      <c r="I23" s="487"/>
      <c r="J23" s="299"/>
      <c r="K23" s="102">
        <v>7610</v>
      </c>
      <c r="L23" s="102">
        <v>17146</v>
      </c>
      <c r="M23" s="102">
        <v>8338</v>
      </c>
      <c r="N23" s="102">
        <v>8808</v>
      </c>
      <c r="O23" s="112">
        <f>SUM(L23/Y23)</f>
        <v>16329.52380952381</v>
      </c>
      <c r="P23" s="98">
        <f>ROUND(L23/K23,2)</f>
        <v>2.25</v>
      </c>
      <c r="Q23" s="96">
        <f>SUM(L23-S23)</f>
        <v>705</v>
      </c>
      <c r="R23" s="99">
        <f>ROUND((Q23/S23)*100,2)</f>
        <v>4.29</v>
      </c>
      <c r="S23" s="102">
        <v>16441</v>
      </c>
      <c r="V23" s="481" t="s">
        <v>335</v>
      </c>
      <c r="W23" s="481"/>
      <c r="X23" s="110">
        <f>SUM(X24:X27)</f>
        <v>1.05</v>
      </c>
      <c r="Y23" s="301">
        <f>ROUND(X23,2)</f>
        <v>1.05</v>
      </c>
    </row>
    <row r="24" spans="3:25" ht="10.5" customHeight="1">
      <c r="C24" s="65"/>
      <c r="D24" s="65"/>
      <c r="E24" s="65"/>
      <c r="F24" s="486" t="s">
        <v>289</v>
      </c>
      <c r="G24" s="486"/>
      <c r="H24" s="486"/>
      <c r="I24" s="486"/>
      <c r="J24" s="305"/>
      <c r="K24" s="103">
        <v>1277</v>
      </c>
      <c r="L24" s="103">
        <v>2454</v>
      </c>
      <c r="M24" s="103">
        <v>1121</v>
      </c>
      <c r="N24" s="103">
        <v>1333</v>
      </c>
      <c r="O24" s="113">
        <f>SUM(L24/Y24)</f>
        <v>14435.294117647058</v>
      </c>
      <c r="P24" s="62">
        <f>ROUND(L24/K24,2)</f>
        <v>1.92</v>
      </c>
      <c r="Q24" s="54">
        <f>SUM(L24-S24)</f>
        <v>130</v>
      </c>
      <c r="R24" s="63">
        <f>ROUND((Q24/S24)*100,2)</f>
        <v>5.59</v>
      </c>
      <c r="S24" s="103">
        <v>2324</v>
      </c>
      <c r="V24" s="59"/>
      <c r="W24" s="82" t="s">
        <v>289</v>
      </c>
      <c r="X24" s="111">
        <v>0.173</v>
      </c>
      <c r="Y24" s="302">
        <f>ROUND(X24,2)</f>
        <v>0.17</v>
      </c>
    </row>
    <row r="25" spans="3:25" ht="10.5" customHeight="1">
      <c r="C25" s="59"/>
      <c r="D25" s="59"/>
      <c r="E25" s="59"/>
      <c r="F25" s="482" t="s">
        <v>290</v>
      </c>
      <c r="G25" s="482"/>
      <c r="H25" s="482"/>
      <c r="I25" s="482"/>
      <c r="J25" s="305"/>
      <c r="K25" s="103">
        <v>2048</v>
      </c>
      <c r="L25" s="103">
        <v>4290</v>
      </c>
      <c r="M25" s="103">
        <v>2041</v>
      </c>
      <c r="N25" s="103">
        <v>2249</v>
      </c>
      <c r="O25" s="113">
        <f>SUM(L25/Y25)</f>
        <v>15321.42857142857</v>
      </c>
      <c r="P25" s="62">
        <f>ROUND(L25/K25,2)</f>
        <v>2.09</v>
      </c>
      <c r="Q25" s="54">
        <f>SUM(L25-S25)</f>
        <v>-47</v>
      </c>
      <c r="R25" s="63">
        <f>ROUND((Q25/S25)*100,2)</f>
        <v>-1.08</v>
      </c>
      <c r="S25" s="103">
        <v>4337</v>
      </c>
      <c r="V25" s="59"/>
      <c r="W25" s="82" t="s">
        <v>290</v>
      </c>
      <c r="X25" s="111">
        <v>0.278</v>
      </c>
      <c r="Y25" s="302">
        <f>ROUND(X25,2)</f>
        <v>0.28</v>
      </c>
    </row>
    <row r="26" spans="3:25" ht="10.5" customHeight="1">
      <c r="C26" s="59"/>
      <c r="D26" s="59"/>
      <c r="E26" s="59"/>
      <c r="F26" s="482" t="s">
        <v>294</v>
      </c>
      <c r="G26" s="482"/>
      <c r="H26" s="482"/>
      <c r="I26" s="482"/>
      <c r="J26" s="305"/>
      <c r="K26" s="103">
        <v>1564</v>
      </c>
      <c r="L26" s="103">
        <v>3359</v>
      </c>
      <c r="M26" s="103">
        <v>1755</v>
      </c>
      <c r="N26" s="103">
        <v>1604</v>
      </c>
      <c r="O26" s="113">
        <f>SUM(L26/Y26)</f>
        <v>12440.740740740739</v>
      </c>
      <c r="P26" s="62">
        <f>ROUND(L26/K26,2)</f>
        <v>2.15</v>
      </c>
      <c r="Q26" s="54">
        <f>SUM(L26-S26)</f>
        <v>-46</v>
      </c>
      <c r="R26" s="63">
        <f>ROUND((Q26/S26)*100,2)</f>
        <v>-1.35</v>
      </c>
      <c r="S26" s="103">
        <v>3405</v>
      </c>
      <c r="V26" s="59"/>
      <c r="W26" s="82" t="s">
        <v>294</v>
      </c>
      <c r="X26" s="111">
        <v>0.272</v>
      </c>
      <c r="Y26" s="302">
        <f>ROUND(X26,2)</f>
        <v>0.27</v>
      </c>
    </row>
    <row r="27" spans="3:25" ht="10.5" customHeight="1">
      <c r="C27" s="59"/>
      <c r="D27" s="59"/>
      <c r="E27" s="59"/>
      <c r="F27" s="482" t="s">
        <v>297</v>
      </c>
      <c r="G27" s="482"/>
      <c r="H27" s="482"/>
      <c r="I27" s="482"/>
      <c r="J27" s="305"/>
      <c r="K27" s="103">
        <v>2721</v>
      </c>
      <c r="L27" s="103">
        <v>7043</v>
      </c>
      <c r="M27" s="103">
        <v>3421</v>
      </c>
      <c r="N27" s="103">
        <v>3622</v>
      </c>
      <c r="O27" s="113">
        <f>SUM(L27/Y27)</f>
        <v>21342.42424242424</v>
      </c>
      <c r="P27" s="62">
        <f>ROUND(L27/K27,2)</f>
        <v>2.59</v>
      </c>
      <c r="Q27" s="54">
        <f>SUM(L27-S27)</f>
        <v>668</v>
      </c>
      <c r="R27" s="63">
        <f>ROUND((Q27/S27)*100,2)</f>
        <v>10.48</v>
      </c>
      <c r="S27" s="103">
        <v>6375</v>
      </c>
      <c r="V27" s="59"/>
      <c r="W27" s="82" t="s">
        <v>297</v>
      </c>
      <c r="X27" s="111">
        <v>0.327</v>
      </c>
      <c r="Y27" s="302">
        <f>ROUND(X27,2)</f>
        <v>0.33</v>
      </c>
    </row>
    <row r="28" spans="10:25" s="29" customFormat="1" ht="6.75" customHeight="1">
      <c r="J28" s="149"/>
      <c r="K28" s="103"/>
      <c r="L28" s="103"/>
      <c r="M28" s="103"/>
      <c r="N28" s="103"/>
      <c r="O28" s="113"/>
      <c r="P28" s="62"/>
      <c r="Q28" s="54"/>
      <c r="R28" s="63"/>
      <c r="S28" s="104"/>
      <c r="Y28" s="302"/>
    </row>
    <row r="29" spans="3:25" s="30" customFormat="1" ht="10.5" customHeight="1">
      <c r="C29" s="481" t="s">
        <v>336</v>
      </c>
      <c r="D29" s="481"/>
      <c r="E29" s="481"/>
      <c r="F29" s="481"/>
      <c r="G29" s="481"/>
      <c r="H29" s="481"/>
      <c r="I29" s="481"/>
      <c r="J29" s="299"/>
      <c r="K29" s="102">
        <v>9514</v>
      </c>
      <c r="L29" s="102">
        <v>20901</v>
      </c>
      <c r="M29" s="102">
        <v>10209</v>
      </c>
      <c r="N29" s="102">
        <v>10692</v>
      </c>
      <c r="O29" s="112">
        <f aca="true" t="shared" si="5" ref="O29:O34">SUM(L29/Y29)</f>
        <v>15482.22222222222</v>
      </c>
      <c r="P29" s="98">
        <f aca="true" t="shared" si="6" ref="P29:P34">ROUND(L29/K29,2)</f>
        <v>2.2</v>
      </c>
      <c r="Q29" s="96">
        <f aca="true" t="shared" si="7" ref="Q29:Q34">SUM(L29-S29)</f>
        <v>2282</v>
      </c>
      <c r="R29" s="99">
        <f aca="true" t="shared" si="8" ref="R29:R34">ROUND((Q29/S29)*100,2)</f>
        <v>12.26</v>
      </c>
      <c r="S29" s="102">
        <v>18619</v>
      </c>
      <c r="V29" s="481" t="s">
        <v>336</v>
      </c>
      <c r="W29" s="481"/>
      <c r="X29" s="110">
        <f>SUM(X30:X34)</f>
        <v>1.3459999999999999</v>
      </c>
      <c r="Y29" s="301">
        <f aca="true" t="shared" si="9" ref="Y29:Y34">ROUND(X29,2)</f>
        <v>1.35</v>
      </c>
    </row>
    <row r="30" spans="3:25" ht="10.5" customHeight="1">
      <c r="C30" s="59"/>
      <c r="D30" s="59"/>
      <c r="E30" s="59"/>
      <c r="F30" s="482" t="s">
        <v>289</v>
      </c>
      <c r="G30" s="482"/>
      <c r="H30" s="482"/>
      <c r="I30" s="482"/>
      <c r="J30" s="305"/>
      <c r="K30" s="103">
        <v>1663</v>
      </c>
      <c r="L30" s="103">
        <v>3270</v>
      </c>
      <c r="M30" s="103">
        <v>1567</v>
      </c>
      <c r="N30" s="103">
        <v>1703</v>
      </c>
      <c r="O30" s="113">
        <f t="shared" si="5"/>
        <v>23357.142857142855</v>
      </c>
      <c r="P30" s="62">
        <f t="shared" si="6"/>
        <v>1.97</v>
      </c>
      <c r="Q30" s="54">
        <f t="shared" si="7"/>
        <v>203</v>
      </c>
      <c r="R30" s="63">
        <f t="shared" si="8"/>
        <v>6.62</v>
      </c>
      <c r="S30" s="103">
        <v>3067</v>
      </c>
      <c r="V30" s="59"/>
      <c r="W30" s="82" t="s">
        <v>289</v>
      </c>
      <c r="X30" s="111">
        <v>0.142</v>
      </c>
      <c r="Y30" s="302">
        <f t="shared" si="9"/>
        <v>0.14</v>
      </c>
    </row>
    <row r="31" spans="3:25" ht="10.5" customHeight="1">
      <c r="C31" s="59"/>
      <c r="D31" s="59"/>
      <c r="E31" s="59"/>
      <c r="F31" s="482" t="s">
        <v>290</v>
      </c>
      <c r="G31" s="482"/>
      <c r="H31" s="482"/>
      <c r="I31" s="482"/>
      <c r="J31" s="305"/>
      <c r="K31" s="103">
        <v>2077</v>
      </c>
      <c r="L31" s="103">
        <v>3767</v>
      </c>
      <c r="M31" s="103">
        <v>1840</v>
      </c>
      <c r="N31" s="103">
        <v>1927</v>
      </c>
      <c r="O31" s="113">
        <f t="shared" si="5"/>
        <v>17938.09523809524</v>
      </c>
      <c r="P31" s="62">
        <f t="shared" si="6"/>
        <v>1.81</v>
      </c>
      <c r="Q31" s="54">
        <f t="shared" si="7"/>
        <v>210</v>
      </c>
      <c r="R31" s="63">
        <f t="shared" si="8"/>
        <v>5.9</v>
      </c>
      <c r="S31" s="103">
        <v>3557</v>
      </c>
      <c r="V31" s="59"/>
      <c r="W31" s="82" t="s">
        <v>290</v>
      </c>
      <c r="X31" s="111">
        <v>0.206</v>
      </c>
      <c r="Y31" s="302">
        <f t="shared" si="9"/>
        <v>0.21</v>
      </c>
    </row>
    <row r="32" spans="3:25" ht="10.5" customHeight="1">
      <c r="C32" s="59"/>
      <c r="D32" s="59"/>
      <c r="E32" s="59"/>
      <c r="F32" s="482" t="s">
        <v>294</v>
      </c>
      <c r="G32" s="482"/>
      <c r="H32" s="482"/>
      <c r="I32" s="482"/>
      <c r="J32" s="305"/>
      <c r="K32" s="103">
        <v>1804</v>
      </c>
      <c r="L32" s="103">
        <v>4065</v>
      </c>
      <c r="M32" s="103">
        <v>1984</v>
      </c>
      <c r="N32" s="103">
        <v>2081</v>
      </c>
      <c r="O32" s="113">
        <f t="shared" si="5"/>
        <v>11291.666666666668</v>
      </c>
      <c r="P32" s="62">
        <f t="shared" si="6"/>
        <v>2.25</v>
      </c>
      <c r="Q32" s="54">
        <f t="shared" si="7"/>
        <v>153</v>
      </c>
      <c r="R32" s="63">
        <f t="shared" si="8"/>
        <v>3.91</v>
      </c>
      <c r="S32" s="103">
        <v>3912</v>
      </c>
      <c r="V32" s="59"/>
      <c r="W32" s="82" t="s">
        <v>294</v>
      </c>
      <c r="X32" s="111">
        <v>0.362</v>
      </c>
      <c r="Y32" s="302">
        <f t="shared" si="9"/>
        <v>0.36</v>
      </c>
    </row>
    <row r="33" spans="3:25" ht="10.5" customHeight="1">
      <c r="C33" s="59"/>
      <c r="D33" s="59"/>
      <c r="E33" s="59"/>
      <c r="F33" s="482" t="s">
        <v>297</v>
      </c>
      <c r="G33" s="482"/>
      <c r="H33" s="482"/>
      <c r="I33" s="482"/>
      <c r="J33" s="305"/>
      <c r="K33" s="103">
        <v>1963</v>
      </c>
      <c r="L33" s="103">
        <v>4348</v>
      </c>
      <c r="M33" s="103">
        <v>2137</v>
      </c>
      <c r="N33" s="103">
        <v>2211</v>
      </c>
      <c r="O33" s="113">
        <f t="shared" si="5"/>
        <v>12422.857142857143</v>
      </c>
      <c r="P33" s="62">
        <f t="shared" si="6"/>
        <v>2.21</v>
      </c>
      <c r="Q33" s="54">
        <f t="shared" si="7"/>
        <v>185</v>
      </c>
      <c r="R33" s="63">
        <f t="shared" si="8"/>
        <v>4.44</v>
      </c>
      <c r="S33" s="103">
        <v>4163</v>
      </c>
      <c r="V33" s="59"/>
      <c r="W33" s="82" t="s">
        <v>297</v>
      </c>
      <c r="X33" s="111">
        <v>0.353</v>
      </c>
      <c r="Y33" s="302">
        <f t="shared" si="9"/>
        <v>0.35</v>
      </c>
    </row>
    <row r="34" spans="3:25" ht="10.5" customHeight="1">
      <c r="C34" s="59"/>
      <c r="D34" s="59"/>
      <c r="E34" s="59"/>
      <c r="F34" s="482" t="s">
        <v>300</v>
      </c>
      <c r="G34" s="482"/>
      <c r="H34" s="482"/>
      <c r="I34" s="482"/>
      <c r="J34" s="305"/>
      <c r="K34" s="103">
        <v>2007</v>
      </c>
      <c r="L34" s="103">
        <v>5451</v>
      </c>
      <c r="M34" s="103">
        <v>2681</v>
      </c>
      <c r="N34" s="103">
        <v>2770</v>
      </c>
      <c r="O34" s="113">
        <f t="shared" si="5"/>
        <v>19467.85714285714</v>
      </c>
      <c r="P34" s="62">
        <f t="shared" si="6"/>
        <v>2.72</v>
      </c>
      <c r="Q34" s="54">
        <f t="shared" si="7"/>
        <v>1531</v>
      </c>
      <c r="R34" s="63">
        <f t="shared" si="8"/>
        <v>39.06</v>
      </c>
      <c r="S34" s="103">
        <v>3920</v>
      </c>
      <c r="V34" s="59"/>
      <c r="W34" s="82" t="s">
        <v>300</v>
      </c>
      <c r="X34" s="111">
        <v>0.283</v>
      </c>
      <c r="Y34" s="302">
        <f t="shared" si="9"/>
        <v>0.28</v>
      </c>
    </row>
    <row r="35" spans="3:25" ht="6.75" customHeight="1">
      <c r="C35" s="59"/>
      <c r="D35" s="59"/>
      <c r="E35" s="59"/>
      <c r="F35" s="59"/>
      <c r="G35" s="59"/>
      <c r="H35" s="59"/>
      <c r="I35" s="59"/>
      <c r="J35" s="305"/>
      <c r="K35" s="103"/>
      <c r="L35" s="103"/>
      <c r="M35" s="103"/>
      <c r="N35" s="103"/>
      <c r="O35" s="113"/>
      <c r="P35" s="62"/>
      <c r="Q35" s="54"/>
      <c r="R35" s="63"/>
      <c r="S35" s="103"/>
      <c r="V35" s="59"/>
      <c r="W35" s="59"/>
      <c r="X35" s="111"/>
      <c r="Y35" s="302"/>
    </row>
    <row r="36" spans="3:25" s="30" customFormat="1" ht="10.5" customHeight="1">
      <c r="C36" s="481" t="s">
        <v>337</v>
      </c>
      <c r="D36" s="481"/>
      <c r="E36" s="481"/>
      <c r="F36" s="481"/>
      <c r="G36" s="481"/>
      <c r="H36" s="481"/>
      <c r="I36" s="481"/>
      <c r="J36" s="299"/>
      <c r="K36" s="102">
        <v>14942</v>
      </c>
      <c r="L36" s="102">
        <v>32301</v>
      </c>
      <c r="M36" s="102">
        <v>15606</v>
      </c>
      <c r="N36" s="102">
        <v>16695</v>
      </c>
      <c r="O36" s="112">
        <f aca="true" t="shared" si="10" ref="O36:O43">SUM(L36/Y36)</f>
        <v>13292.592592592591</v>
      </c>
      <c r="P36" s="98">
        <f aca="true" t="shared" si="11" ref="P36:P43">ROUND(L36/K36,2)</f>
        <v>2.16</v>
      </c>
      <c r="Q36" s="96">
        <f aca="true" t="shared" si="12" ref="Q36:Q43">SUM(L36-S36)</f>
        <v>1454</v>
      </c>
      <c r="R36" s="99">
        <f aca="true" t="shared" si="13" ref="R36:R43">ROUND((Q36/S36)*100,2)</f>
        <v>4.71</v>
      </c>
      <c r="S36" s="102">
        <v>30847</v>
      </c>
      <c r="V36" s="481" t="s">
        <v>337</v>
      </c>
      <c r="W36" s="481"/>
      <c r="X36" s="110">
        <v>2.433</v>
      </c>
      <c r="Y36" s="301">
        <f aca="true" t="shared" si="14" ref="Y36:Y43">ROUND(X36,2)</f>
        <v>2.43</v>
      </c>
    </row>
    <row r="37" spans="3:25" ht="10.5" customHeight="1">
      <c r="C37" s="65"/>
      <c r="D37" s="65"/>
      <c r="E37" s="65"/>
      <c r="F37" s="486" t="s">
        <v>289</v>
      </c>
      <c r="G37" s="486"/>
      <c r="H37" s="486"/>
      <c r="I37" s="486"/>
      <c r="J37" s="305"/>
      <c r="K37" s="103">
        <v>1877</v>
      </c>
      <c r="L37" s="103">
        <v>3854</v>
      </c>
      <c r="M37" s="103">
        <v>1892</v>
      </c>
      <c r="N37" s="103">
        <v>1962</v>
      </c>
      <c r="O37" s="113">
        <f t="shared" si="10"/>
        <v>14274.074074074073</v>
      </c>
      <c r="P37" s="62">
        <f t="shared" si="11"/>
        <v>2.05</v>
      </c>
      <c r="Q37" s="54">
        <f t="shared" si="12"/>
        <v>-73</v>
      </c>
      <c r="R37" s="63">
        <f t="shared" si="13"/>
        <v>-1.86</v>
      </c>
      <c r="S37" s="103">
        <v>3927</v>
      </c>
      <c r="V37" s="59"/>
      <c r="W37" s="82" t="s">
        <v>289</v>
      </c>
      <c r="X37" s="111">
        <v>0.27</v>
      </c>
      <c r="Y37" s="302">
        <f t="shared" si="14"/>
        <v>0.27</v>
      </c>
    </row>
    <row r="38" spans="3:25" ht="10.5" customHeight="1">
      <c r="C38" s="65"/>
      <c r="D38" s="65"/>
      <c r="E38" s="65"/>
      <c r="F38" s="486" t="s">
        <v>290</v>
      </c>
      <c r="G38" s="486"/>
      <c r="H38" s="486"/>
      <c r="I38" s="486"/>
      <c r="J38" s="305"/>
      <c r="K38" s="103">
        <v>2341</v>
      </c>
      <c r="L38" s="103">
        <v>5332</v>
      </c>
      <c r="M38" s="103">
        <v>2613</v>
      </c>
      <c r="N38" s="103">
        <v>2719</v>
      </c>
      <c r="O38" s="113">
        <f t="shared" si="10"/>
        <v>12695.238095238095</v>
      </c>
      <c r="P38" s="62">
        <f t="shared" si="11"/>
        <v>2.28</v>
      </c>
      <c r="Q38" s="54">
        <f t="shared" si="12"/>
        <v>637</v>
      </c>
      <c r="R38" s="63">
        <f t="shared" si="13"/>
        <v>13.57</v>
      </c>
      <c r="S38" s="103">
        <v>4695</v>
      </c>
      <c r="V38" s="59"/>
      <c r="W38" s="82" t="s">
        <v>290</v>
      </c>
      <c r="X38" s="111">
        <v>0.418</v>
      </c>
      <c r="Y38" s="302">
        <f t="shared" si="14"/>
        <v>0.42</v>
      </c>
    </row>
    <row r="39" spans="3:25" ht="10.5" customHeight="1">
      <c r="C39" s="65"/>
      <c r="D39" s="65"/>
      <c r="E39" s="65"/>
      <c r="F39" s="486" t="s">
        <v>294</v>
      </c>
      <c r="G39" s="486"/>
      <c r="H39" s="486"/>
      <c r="I39" s="486"/>
      <c r="J39" s="305"/>
      <c r="K39" s="103">
        <v>2361</v>
      </c>
      <c r="L39" s="103">
        <v>4854</v>
      </c>
      <c r="M39" s="103">
        <v>2267</v>
      </c>
      <c r="N39" s="103">
        <v>2587</v>
      </c>
      <c r="O39" s="113">
        <f t="shared" si="10"/>
        <v>15168.75</v>
      </c>
      <c r="P39" s="62">
        <f t="shared" si="11"/>
        <v>2.06</v>
      </c>
      <c r="Q39" s="54">
        <f t="shared" si="12"/>
        <v>-26</v>
      </c>
      <c r="R39" s="63">
        <f t="shared" si="13"/>
        <v>-0.53</v>
      </c>
      <c r="S39" s="103">
        <v>4880</v>
      </c>
      <c r="V39" s="59"/>
      <c r="W39" s="82" t="s">
        <v>294</v>
      </c>
      <c r="X39" s="111">
        <v>0.324</v>
      </c>
      <c r="Y39" s="302">
        <f t="shared" si="14"/>
        <v>0.32</v>
      </c>
    </row>
    <row r="40" spans="3:25" ht="10.5" customHeight="1">
      <c r="C40" s="65"/>
      <c r="D40" s="65"/>
      <c r="E40" s="65"/>
      <c r="F40" s="486" t="s">
        <v>297</v>
      </c>
      <c r="G40" s="486"/>
      <c r="H40" s="486"/>
      <c r="I40" s="486"/>
      <c r="J40" s="305"/>
      <c r="K40" s="103">
        <v>1345</v>
      </c>
      <c r="L40" s="103">
        <v>2513</v>
      </c>
      <c r="M40" s="103">
        <v>1219</v>
      </c>
      <c r="N40" s="103">
        <v>1294</v>
      </c>
      <c r="O40" s="113">
        <f t="shared" si="10"/>
        <v>10926.086956521738</v>
      </c>
      <c r="P40" s="62">
        <f t="shared" si="11"/>
        <v>1.87</v>
      </c>
      <c r="Q40" s="54">
        <f t="shared" si="12"/>
        <v>68</v>
      </c>
      <c r="R40" s="63">
        <f t="shared" si="13"/>
        <v>2.78</v>
      </c>
      <c r="S40" s="103">
        <v>2445</v>
      </c>
      <c r="V40" s="59"/>
      <c r="W40" s="82" t="s">
        <v>297</v>
      </c>
      <c r="X40" s="111">
        <v>0.225</v>
      </c>
      <c r="Y40" s="302">
        <f t="shared" si="14"/>
        <v>0.23</v>
      </c>
    </row>
    <row r="41" spans="3:25" ht="10.5" customHeight="1">
      <c r="C41" s="65"/>
      <c r="D41" s="65"/>
      <c r="E41" s="65"/>
      <c r="F41" s="486" t="s">
        <v>300</v>
      </c>
      <c r="G41" s="486"/>
      <c r="H41" s="486"/>
      <c r="I41" s="486"/>
      <c r="J41" s="305"/>
      <c r="K41" s="103">
        <v>1840</v>
      </c>
      <c r="L41" s="103">
        <v>3966</v>
      </c>
      <c r="M41" s="103">
        <v>1895</v>
      </c>
      <c r="N41" s="103">
        <v>2071</v>
      </c>
      <c r="O41" s="113">
        <f t="shared" si="10"/>
        <v>11331.428571428572</v>
      </c>
      <c r="P41" s="62">
        <f t="shared" si="11"/>
        <v>2.16</v>
      </c>
      <c r="Q41" s="54">
        <f t="shared" si="12"/>
        <v>544</v>
      </c>
      <c r="R41" s="63">
        <f t="shared" si="13"/>
        <v>15.9</v>
      </c>
      <c r="S41" s="103">
        <v>3422</v>
      </c>
      <c r="V41" s="59"/>
      <c r="W41" s="82" t="s">
        <v>300</v>
      </c>
      <c r="X41" s="111">
        <v>0.351</v>
      </c>
      <c r="Y41" s="302">
        <f t="shared" si="14"/>
        <v>0.35</v>
      </c>
    </row>
    <row r="42" spans="3:25" ht="10.5" customHeight="1">
      <c r="C42" s="65"/>
      <c r="D42" s="65"/>
      <c r="E42" s="65"/>
      <c r="F42" s="486" t="s">
        <v>301</v>
      </c>
      <c r="G42" s="486"/>
      <c r="H42" s="486"/>
      <c r="I42" s="486"/>
      <c r="J42" s="305"/>
      <c r="K42" s="103">
        <v>2731</v>
      </c>
      <c r="L42" s="103">
        <v>5852</v>
      </c>
      <c r="M42" s="103">
        <v>2774</v>
      </c>
      <c r="N42" s="103">
        <v>3078</v>
      </c>
      <c r="O42" s="113">
        <f t="shared" si="10"/>
        <v>13300</v>
      </c>
      <c r="P42" s="62">
        <f t="shared" si="11"/>
        <v>2.14</v>
      </c>
      <c r="Q42" s="54">
        <f t="shared" si="12"/>
        <v>193</v>
      </c>
      <c r="R42" s="63">
        <f t="shared" si="13"/>
        <v>3.41</v>
      </c>
      <c r="S42" s="103">
        <v>5659</v>
      </c>
      <c r="V42" s="59"/>
      <c r="W42" s="82" t="s">
        <v>301</v>
      </c>
      <c r="X42" s="111">
        <v>0.443</v>
      </c>
      <c r="Y42" s="302">
        <f t="shared" si="14"/>
        <v>0.44</v>
      </c>
    </row>
    <row r="43" spans="3:25" ht="10.5" customHeight="1">
      <c r="C43" s="65"/>
      <c r="D43" s="65"/>
      <c r="E43" s="65"/>
      <c r="F43" s="486" t="s">
        <v>316</v>
      </c>
      <c r="G43" s="486"/>
      <c r="H43" s="486"/>
      <c r="I43" s="486"/>
      <c r="J43" s="305"/>
      <c r="K43" s="103">
        <v>2447</v>
      </c>
      <c r="L43" s="103">
        <v>5930</v>
      </c>
      <c r="M43" s="103">
        <v>2946</v>
      </c>
      <c r="N43" s="103">
        <v>2984</v>
      </c>
      <c r="O43" s="113">
        <f t="shared" si="10"/>
        <v>14825</v>
      </c>
      <c r="P43" s="62">
        <f t="shared" si="11"/>
        <v>2.42</v>
      </c>
      <c r="Q43" s="54">
        <f t="shared" si="12"/>
        <v>111</v>
      </c>
      <c r="R43" s="63">
        <f t="shared" si="13"/>
        <v>1.91</v>
      </c>
      <c r="S43" s="103">
        <v>5819</v>
      </c>
      <c r="V43" s="59"/>
      <c r="W43" s="82" t="s">
        <v>316</v>
      </c>
      <c r="X43" s="111">
        <v>0.403</v>
      </c>
      <c r="Y43" s="302">
        <f t="shared" si="14"/>
        <v>0.4</v>
      </c>
    </row>
    <row r="44" spans="3:25" ht="6.75" customHeight="1">
      <c r="C44" s="59"/>
      <c r="D44" s="59"/>
      <c r="E44" s="59"/>
      <c r="F44" s="59"/>
      <c r="G44" s="59"/>
      <c r="H44" s="59"/>
      <c r="I44" s="59"/>
      <c r="J44" s="305"/>
      <c r="K44" s="103"/>
      <c r="L44" s="103"/>
      <c r="M44" s="103"/>
      <c r="N44" s="103"/>
      <c r="O44" s="113"/>
      <c r="P44" s="62"/>
      <c r="Q44" s="54"/>
      <c r="R44" s="63"/>
      <c r="S44" s="103"/>
      <c r="V44" s="59"/>
      <c r="W44" s="59"/>
      <c r="X44" s="111"/>
      <c r="Y44" s="302"/>
    </row>
    <row r="45" spans="3:25" s="30" customFormat="1" ht="10.5" customHeight="1">
      <c r="C45" s="487" t="s">
        <v>338</v>
      </c>
      <c r="D45" s="487"/>
      <c r="E45" s="487"/>
      <c r="F45" s="487"/>
      <c r="G45" s="487"/>
      <c r="H45" s="487"/>
      <c r="I45" s="487"/>
      <c r="J45" s="299"/>
      <c r="K45" s="102">
        <v>8</v>
      </c>
      <c r="L45" s="102">
        <v>18</v>
      </c>
      <c r="M45" s="102">
        <v>7</v>
      </c>
      <c r="N45" s="102">
        <v>11</v>
      </c>
      <c r="O45" s="112">
        <f>SUM(L45/Y45)</f>
        <v>1800</v>
      </c>
      <c r="P45" s="98">
        <f>ROUND(L45/K45,2)</f>
        <v>2.25</v>
      </c>
      <c r="Q45" s="96">
        <f>SUM(L45-S45)</f>
        <v>1</v>
      </c>
      <c r="R45" s="99">
        <f>ROUND((Q45/S45)*100,2)</f>
        <v>5.88</v>
      </c>
      <c r="S45" s="102">
        <v>17</v>
      </c>
      <c r="V45" s="481" t="s">
        <v>338</v>
      </c>
      <c r="W45" s="481"/>
      <c r="X45" s="110">
        <v>0.002</v>
      </c>
      <c r="Y45" s="301">
        <v>0.01</v>
      </c>
    </row>
    <row r="46" spans="3:25" ht="6.75" customHeight="1">
      <c r="C46" s="59"/>
      <c r="D46" s="59"/>
      <c r="E46" s="59"/>
      <c r="F46" s="59"/>
      <c r="G46" s="59"/>
      <c r="H46" s="59"/>
      <c r="I46" s="59"/>
      <c r="J46" s="305"/>
      <c r="K46" s="103"/>
      <c r="L46" s="103"/>
      <c r="M46" s="103"/>
      <c r="N46" s="103"/>
      <c r="O46" s="113"/>
      <c r="P46" s="62"/>
      <c r="Q46" s="54"/>
      <c r="R46" s="63"/>
      <c r="S46" s="103"/>
      <c r="V46" s="59"/>
      <c r="W46" s="59"/>
      <c r="X46" s="111"/>
      <c r="Y46" s="302"/>
    </row>
    <row r="47" spans="3:25" s="30" customFormat="1" ht="10.5" customHeight="1">
      <c r="C47" s="487" t="s">
        <v>339</v>
      </c>
      <c r="D47" s="487"/>
      <c r="E47" s="487"/>
      <c r="F47" s="487"/>
      <c r="G47" s="487"/>
      <c r="H47" s="487"/>
      <c r="I47" s="487"/>
      <c r="J47" s="299"/>
      <c r="K47" s="102">
        <v>8037</v>
      </c>
      <c r="L47" s="102">
        <v>20871</v>
      </c>
      <c r="M47" s="102">
        <v>10417</v>
      </c>
      <c r="N47" s="102">
        <v>10454</v>
      </c>
      <c r="O47" s="112">
        <f aca="true" t="shared" si="15" ref="O47:O53">SUM(L47/Y47)</f>
        <v>11467.582417582416</v>
      </c>
      <c r="P47" s="98">
        <f aca="true" t="shared" si="16" ref="P47:P53">ROUND(L47/K47,2)</f>
        <v>2.6</v>
      </c>
      <c r="Q47" s="96">
        <f aca="true" t="shared" si="17" ref="Q47:Q53">SUM(L47-S47)</f>
        <v>597</v>
      </c>
      <c r="R47" s="99">
        <f aca="true" t="shared" si="18" ref="R47:R53">ROUND((Q47/S47)*100,2)</f>
        <v>2.94</v>
      </c>
      <c r="S47" s="102">
        <v>20274</v>
      </c>
      <c r="V47" s="481" t="s">
        <v>339</v>
      </c>
      <c r="W47" s="481"/>
      <c r="X47" s="110">
        <f>SUM(X48:X53)</f>
        <v>1.8190000000000002</v>
      </c>
      <c r="Y47" s="301">
        <f aca="true" t="shared" si="19" ref="Y47:Y53">ROUND(X47,2)</f>
        <v>1.82</v>
      </c>
    </row>
    <row r="48" spans="3:25" ht="10.5" customHeight="1">
      <c r="C48" s="65"/>
      <c r="D48" s="65"/>
      <c r="E48" s="65"/>
      <c r="F48" s="486" t="s">
        <v>289</v>
      </c>
      <c r="G48" s="486"/>
      <c r="H48" s="486"/>
      <c r="I48" s="486"/>
      <c r="J48" s="305"/>
      <c r="K48" s="103">
        <v>1599</v>
      </c>
      <c r="L48" s="103">
        <v>3723</v>
      </c>
      <c r="M48" s="103">
        <v>1890</v>
      </c>
      <c r="N48" s="103">
        <v>1833</v>
      </c>
      <c r="O48" s="113">
        <f t="shared" si="15"/>
        <v>13788.888888888889</v>
      </c>
      <c r="P48" s="62">
        <f t="shared" si="16"/>
        <v>2.33</v>
      </c>
      <c r="Q48" s="54">
        <f t="shared" si="17"/>
        <v>57</v>
      </c>
      <c r="R48" s="63">
        <f t="shared" si="18"/>
        <v>1.55</v>
      </c>
      <c r="S48" s="103">
        <v>3666</v>
      </c>
      <c r="V48" s="59"/>
      <c r="W48" s="82" t="s">
        <v>289</v>
      </c>
      <c r="X48" s="111">
        <v>0.274</v>
      </c>
      <c r="Y48" s="302">
        <f t="shared" si="19"/>
        <v>0.27</v>
      </c>
    </row>
    <row r="49" spans="3:25" ht="10.5" customHeight="1">
      <c r="C49" s="65"/>
      <c r="D49" s="65"/>
      <c r="E49" s="65"/>
      <c r="F49" s="486" t="s">
        <v>290</v>
      </c>
      <c r="G49" s="486"/>
      <c r="H49" s="486"/>
      <c r="I49" s="486"/>
      <c r="J49" s="305"/>
      <c r="K49" s="103">
        <v>1073</v>
      </c>
      <c r="L49" s="103">
        <v>2975</v>
      </c>
      <c r="M49" s="103">
        <v>1464</v>
      </c>
      <c r="N49" s="103">
        <v>1511</v>
      </c>
      <c r="O49" s="113">
        <f t="shared" si="15"/>
        <v>9015.151515151514</v>
      </c>
      <c r="P49" s="62">
        <f t="shared" si="16"/>
        <v>2.77</v>
      </c>
      <c r="Q49" s="54">
        <f t="shared" si="17"/>
        <v>101</v>
      </c>
      <c r="R49" s="63">
        <f t="shared" si="18"/>
        <v>3.51</v>
      </c>
      <c r="S49" s="103">
        <v>2874</v>
      </c>
      <c r="V49" s="59"/>
      <c r="W49" s="82" t="s">
        <v>290</v>
      </c>
      <c r="X49" s="111">
        <v>0.33</v>
      </c>
      <c r="Y49" s="302">
        <f t="shared" si="19"/>
        <v>0.33</v>
      </c>
    </row>
    <row r="50" spans="3:25" ht="10.5" customHeight="1">
      <c r="C50" s="65"/>
      <c r="D50" s="65"/>
      <c r="E50" s="65"/>
      <c r="F50" s="486" t="s">
        <v>294</v>
      </c>
      <c r="G50" s="486"/>
      <c r="H50" s="486"/>
      <c r="I50" s="486"/>
      <c r="J50" s="305"/>
      <c r="K50" s="103">
        <v>1434</v>
      </c>
      <c r="L50" s="103">
        <v>3479</v>
      </c>
      <c r="M50" s="103">
        <v>1742</v>
      </c>
      <c r="N50" s="103">
        <v>1737</v>
      </c>
      <c r="O50" s="113">
        <f t="shared" si="15"/>
        <v>11596.666666666668</v>
      </c>
      <c r="P50" s="62">
        <f t="shared" si="16"/>
        <v>2.43</v>
      </c>
      <c r="Q50" s="54">
        <f t="shared" si="17"/>
        <v>-1</v>
      </c>
      <c r="R50" s="63">
        <f t="shared" si="18"/>
        <v>-0.03</v>
      </c>
      <c r="S50" s="103">
        <v>3480</v>
      </c>
      <c r="V50" s="59"/>
      <c r="W50" s="82" t="s">
        <v>294</v>
      </c>
      <c r="X50" s="111">
        <v>0.298</v>
      </c>
      <c r="Y50" s="302">
        <f t="shared" si="19"/>
        <v>0.3</v>
      </c>
    </row>
    <row r="51" spans="3:25" ht="10.5" customHeight="1">
      <c r="C51" s="65"/>
      <c r="D51" s="65"/>
      <c r="E51" s="65"/>
      <c r="F51" s="486" t="s">
        <v>297</v>
      </c>
      <c r="G51" s="486"/>
      <c r="H51" s="486"/>
      <c r="I51" s="486"/>
      <c r="J51" s="305"/>
      <c r="K51" s="103">
        <v>1137</v>
      </c>
      <c r="L51" s="103">
        <v>3061</v>
      </c>
      <c r="M51" s="103">
        <v>1532</v>
      </c>
      <c r="N51" s="103">
        <v>1529</v>
      </c>
      <c r="O51" s="113">
        <f t="shared" si="15"/>
        <v>8745.714285714286</v>
      </c>
      <c r="P51" s="62">
        <f t="shared" si="16"/>
        <v>2.69</v>
      </c>
      <c r="Q51" s="54">
        <f t="shared" si="17"/>
        <v>293</v>
      </c>
      <c r="R51" s="63">
        <f t="shared" si="18"/>
        <v>10.59</v>
      </c>
      <c r="S51" s="103">
        <v>2768</v>
      </c>
      <c r="V51" s="59"/>
      <c r="W51" s="82" t="s">
        <v>297</v>
      </c>
      <c r="X51" s="111">
        <v>0.351</v>
      </c>
      <c r="Y51" s="302">
        <f t="shared" si="19"/>
        <v>0.35</v>
      </c>
    </row>
    <row r="52" spans="3:25" ht="10.5" customHeight="1">
      <c r="C52" s="65"/>
      <c r="D52" s="65"/>
      <c r="E52" s="65"/>
      <c r="F52" s="486" t="s">
        <v>300</v>
      </c>
      <c r="G52" s="486"/>
      <c r="H52" s="486"/>
      <c r="I52" s="486"/>
      <c r="J52" s="305"/>
      <c r="K52" s="103">
        <v>1838</v>
      </c>
      <c r="L52" s="103">
        <v>5068</v>
      </c>
      <c r="M52" s="103">
        <v>2509</v>
      </c>
      <c r="N52" s="103">
        <v>2559</v>
      </c>
      <c r="O52" s="113">
        <f t="shared" si="15"/>
        <v>13336.842105263158</v>
      </c>
      <c r="P52" s="62">
        <f t="shared" si="16"/>
        <v>2.76</v>
      </c>
      <c r="Q52" s="54">
        <f t="shared" si="17"/>
        <v>308</v>
      </c>
      <c r="R52" s="63">
        <f t="shared" si="18"/>
        <v>6.47</v>
      </c>
      <c r="S52" s="103">
        <v>4760</v>
      </c>
      <c r="V52" s="59"/>
      <c r="W52" s="82" t="s">
        <v>300</v>
      </c>
      <c r="X52" s="111">
        <v>0.383</v>
      </c>
      <c r="Y52" s="302">
        <f t="shared" si="19"/>
        <v>0.38</v>
      </c>
    </row>
    <row r="53" spans="3:25" ht="10.5" customHeight="1">
      <c r="C53" s="59"/>
      <c r="D53" s="59"/>
      <c r="E53" s="59"/>
      <c r="F53" s="482" t="s">
        <v>301</v>
      </c>
      <c r="G53" s="482"/>
      <c r="H53" s="482"/>
      <c r="I53" s="482"/>
      <c r="J53" s="305"/>
      <c r="K53" s="103">
        <v>956</v>
      </c>
      <c r="L53" s="103">
        <v>2565</v>
      </c>
      <c r="M53" s="103">
        <v>1280</v>
      </c>
      <c r="N53" s="103">
        <v>1285</v>
      </c>
      <c r="O53" s="113">
        <f t="shared" si="15"/>
        <v>14250</v>
      </c>
      <c r="P53" s="62">
        <f t="shared" si="16"/>
        <v>2.68</v>
      </c>
      <c r="Q53" s="54">
        <f t="shared" si="17"/>
        <v>-161</v>
      </c>
      <c r="R53" s="63">
        <f t="shared" si="18"/>
        <v>-5.91</v>
      </c>
      <c r="S53" s="103">
        <v>2726</v>
      </c>
      <c r="V53" s="59"/>
      <c r="W53" s="82" t="s">
        <v>301</v>
      </c>
      <c r="X53" s="111">
        <v>0.183</v>
      </c>
      <c r="Y53" s="302">
        <f t="shared" si="19"/>
        <v>0.18</v>
      </c>
    </row>
    <row r="54" spans="10:25" ht="6.75" customHeight="1">
      <c r="J54" s="149"/>
      <c r="K54" s="103"/>
      <c r="L54" s="103"/>
      <c r="M54" s="103"/>
      <c r="N54" s="103"/>
      <c r="O54" s="113"/>
      <c r="P54" s="62"/>
      <c r="Q54" s="54"/>
      <c r="R54" s="63"/>
      <c r="S54" s="103"/>
      <c r="V54" s="29"/>
      <c r="W54" s="29"/>
      <c r="X54" s="111"/>
      <c r="Y54" s="302"/>
    </row>
    <row r="55" spans="3:25" s="30" customFormat="1" ht="10.5" customHeight="1">
      <c r="C55" s="481" t="s">
        <v>340</v>
      </c>
      <c r="D55" s="481"/>
      <c r="E55" s="481"/>
      <c r="F55" s="481"/>
      <c r="G55" s="481"/>
      <c r="H55" s="481"/>
      <c r="I55" s="481"/>
      <c r="J55" s="299"/>
      <c r="K55" s="102">
        <v>10253</v>
      </c>
      <c r="L55" s="102">
        <v>25372</v>
      </c>
      <c r="M55" s="102">
        <v>12570</v>
      </c>
      <c r="N55" s="102">
        <v>12802</v>
      </c>
      <c r="O55" s="112">
        <f aca="true" t="shared" si="20" ref="O55:O61">SUM(L55/Y55)</f>
        <v>14095.555555555555</v>
      </c>
      <c r="P55" s="98">
        <f aca="true" t="shared" si="21" ref="P55:P61">ROUND(L55/K55,2)</f>
        <v>2.47</v>
      </c>
      <c r="Q55" s="96">
        <f aca="true" t="shared" si="22" ref="Q55:Q61">SUM(L55-S55)</f>
        <v>869</v>
      </c>
      <c r="R55" s="99">
        <f aca="true" t="shared" si="23" ref="R55:R61">ROUND((Q55/S55)*100,2)</f>
        <v>3.55</v>
      </c>
      <c r="S55" s="102">
        <v>24503</v>
      </c>
      <c r="V55" s="481" t="s">
        <v>340</v>
      </c>
      <c r="W55" s="481"/>
      <c r="X55" s="110">
        <f>SUM(X56:X61)</f>
        <v>1.802</v>
      </c>
      <c r="Y55" s="301">
        <f aca="true" t="shared" si="24" ref="Y55:Y61">ROUND(X55,2)</f>
        <v>1.8</v>
      </c>
    </row>
    <row r="56" spans="3:25" ht="10.5" customHeight="1">
      <c r="C56" s="59"/>
      <c r="D56" s="59"/>
      <c r="E56" s="59"/>
      <c r="F56" s="482" t="s">
        <v>289</v>
      </c>
      <c r="G56" s="482"/>
      <c r="H56" s="482"/>
      <c r="I56" s="482"/>
      <c r="J56" s="305"/>
      <c r="K56" s="103">
        <v>1818</v>
      </c>
      <c r="L56" s="103">
        <v>4769</v>
      </c>
      <c r="M56" s="103">
        <v>2333</v>
      </c>
      <c r="N56" s="103">
        <v>2436</v>
      </c>
      <c r="O56" s="113">
        <f t="shared" si="20"/>
        <v>14451.51515151515</v>
      </c>
      <c r="P56" s="62">
        <f t="shared" si="21"/>
        <v>2.62</v>
      </c>
      <c r="Q56" s="54">
        <f t="shared" si="22"/>
        <v>303</v>
      </c>
      <c r="R56" s="63">
        <f t="shared" si="23"/>
        <v>6.78</v>
      </c>
      <c r="S56" s="103">
        <v>4466</v>
      </c>
      <c r="V56" s="59"/>
      <c r="W56" s="82" t="s">
        <v>289</v>
      </c>
      <c r="X56" s="111">
        <v>0.333</v>
      </c>
      <c r="Y56" s="302">
        <f t="shared" si="24"/>
        <v>0.33</v>
      </c>
    </row>
    <row r="57" spans="3:25" ht="10.5" customHeight="1">
      <c r="C57" s="59"/>
      <c r="D57" s="59"/>
      <c r="E57" s="59"/>
      <c r="F57" s="482" t="s">
        <v>290</v>
      </c>
      <c r="G57" s="482"/>
      <c r="H57" s="482"/>
      <c r="I57" s="482"/>
      <c r="J57" s="305"/>
      <c r="K57" s="103">
        <v>1575</v>
      </c>
      <c r="L57" s="103">
        <v>4256</v>
      </c>
      <c r="M57" s="103">
        <v>2094</v>
      </c>
      <c r="N57" s="103">
        <v>2162</v>
      </c>
      <c r="O57" s="113">
        <f t="shared" si="20"/>
        <v>15199.999999999998</v>
      </c>
      <c r="P57" s="62">
        <f t="shared" si="21"/>
        <v>2.7</v>
      </c>
      <c r="Q57" s="54">
        <f t="shared" si="22"/>
        <v>499</v>
      </c>
      <c r="R57" s="63">
        <f t="shared" si="23"/>
        <v>13.28</v>
      </c>
      <c r="S57" s="103">
        <v>3757</v>
      </c>
      <c r="V57" s="59"/>
      <c r="W57" s="82" t="s">
        <v>290</v>
      </c>
      <c r="X57" s="111">
        <v>0.281</v>
      </c>
      <c r="Y57" s="302">
        <f t="shared" si="24"/>
        <v>0.28</v>
      </c>
    </row>
    <row r="58" spans="3:25" ht="10.5" customHeight="1">
      <c r="C58" s="59"/>
      <c r="D58" s="59"/>
      <c r="E58" s="59"/>
      <c r="F58" s="482" t="s">
        <v>294</v>
      </c>
      <c r="G58" s="482"/>
      <c r="H58" s="482"/>
      <c r="I58" s="482"/>
      <c r="J58" s="305"/>
      <c r="K58" s="103">
        <v>1831</v>
      </c>
      <c r="L58" s="103">
        <v>4347</v>
      </c>
      <c r="M58" s="103">
        <v>2155</v>
      </c>
      <c r="N58" s="103">
        <v>2192</v>
      </c>
      <c r="O58" s="113">
        <f t="shared" si="20"/>
        <v>12785.294117647058</v>
      </c>
      <c r="P58" s="62">
        <f t="shared" si="21"/>
        <v>2.37</v>
      </c>
      <c r="Q58" s="54">
        <f t="shared" si="22"/>
        <v>-85</v>
      </c>
      <c r="R58" s="63">
        <f t="shared" si="23"/>
        <v>-1.92</v>
      </c>
      <c r="S58" s="103">
        <v>4432</v>
      </c>
      <c r="V58" s="59"/>
      <c r="W58" s="82" t="s">
        <v>294</v>
      </c>
      <c r="X58" s="111">
        <v>0.338</v>
      </c>
      <c r="Y58" s="302">
        <f t="shared" si="24"/>
        <v>0.34</v>
      </c>
    </row>
    <row r="59" spans="3:25" ht="10.5" customHeight="1">
      <c r="C59" s="59"/>
      <c r="D59" s="59"/>
      <c r="E59" s="59"/>
      <c r="F59" s="482" t="s">
        <v>297</v>
      </c>
      <c r="G59" s="482"/>
      <c r="H59" s="482"/>
      <c r="I59" s="482"/>
      <c r="J59" s="305"/>
      <c r="K59" s="103">
        <v>2564</v>
      </c>
      <c r="L59" s="103">
        <v>5875</v>
      </c>
      <c r="M59" s="103">
        <v>2927</v>
      </c>
      <c r="N59" s="103">
        <v>2948</v>
      </c>
      <c r="O59" s="113">
        <f t="shared" si="20"/>
        <v>15878.378378378378</v>
      </c>
      <c r="P59" s="62">
        <f t="shared" si="21"/>
        <v>2.29</v>
      </c>
      <c r="Q59" s="54">
        <f t="shared" si="22"/>
        <v>279</v>
      </c>
      <c r="R59" s="63">
        <f t="shared" si="23"/>
        <v>4.99</v>
      </c>
      <c r="S59" s="103">
        <v>5596</v>
      </c>
      <c r="V59" s="59"/>
      <c r="W59" s="82" t="s">
        <v>297</v>
      </c>
      <c r="X59" s="111">
        <v>0.366</v>
      </c>
      <c r="Y59" s="302">
        <f t="shared" si="24"/>
        <v>0.37</v>
      </c>
    </row>
    <row r="60" spans="3:25" ht="10.5" customHeight="1">
      <c r="C60" s="59"/>
      <c r="D60" s="59"/>
      <c r="E60" s="59"/>
      <c r="F60" s="482" t="s">
        <v>300</v>
      </c>
      <c r="G60" s="482"/>
      <c r="H60" s="482"/>
      <c r="I60" s="482"/>
      <c r="J60" s="305"/>
      <c r="K60" s="103">
        <v>1791</v>
      </c>
      <c r="L60" s="103">
        <v>4369</v>
      </c>
      <c r="M60" s="103">
        <v>2194</v>
      </c>
      <c r="N60" s="103">
        <v>2175</v>
      </c>
      <c r="O60" s="113">
        <f t="shared" si="20"/>
        <v>12136.111111111111</v>
      </c>
      <c r="P60" s="62">
        <f t="shared" si="21"/>
        <v>2.44</v>
      </c>
      <c r="Q60" s="54">
        <f t="shared" si="22"/>
        <v>-173</v>
      </c>
      <c r="R60" s="63">
        <f t="shared" si="23"/>
        <v>-3.81</v>
      </c>
      <c r="S60" s="103">
        <v>4542</v>
      </c>
      <c r="V60" s="59"/>
      <c r="W60" s="82" t="s">
        <v>300</v>
      </c>
      <c r="X60" s="111">
        <v>0.363</v>
      </c>
      <c r="Y60" s="302">
        <f t="shared" si="24"/>
        <v>0.36</v>
      </c>
    </row>
    <row r="61" spans="3:25" ht="10.5" customHeight="1">
      <c r="C61" s="59"/>
      <c r="D61" s="59"/>
      <c r="E61" s="59"/>
      <c r="F61" s="482" t="s">
        <v>301</v>
      </c>
      <c r="G61" s="482"/>
      <c r="H61" s="482"/>
      <c r="I61" s="482"/>
      <c r="J61" s="305"/>
      <c r="K61" s="103">
        <v>674</v>
      </c>
      <c r="L61" s="103">
        <v>1756</v>
      </c>
      <c r="M61" s="103">
        <v>867</v>
      </c>
      <c r="N61" s="103">
        <v>889</v>
      </c>
      <c r="O61" s="113">
        <f t="shared" si="20"/>
        <v>14633.333333333334</v>
      </c>
      <c r="P61" s="62">
        <f t="shared" si="21"/>
        <v>2.61</v>
      </c>
      <c r="Q61" s="54">
        <f t="shared" si="22"/>
        <v>46</v>
      </c>
      <c r="R61" s="63">
        <f t="shared" si="23"/>
        <v>2.69</v>
      </c>
      <c r="S61" s="103">
        <v>1710</v>
      </c>
      <c r="V61" s="59"/>
      <c r="W61" s="82" t="s">
        <v>301</v>
      </c>
      <c r="X61" s="111">
        <v>0.121</v>
      </c>
      <c r="Y61" s="302">
        <f t="shared" si="24"/>
        <v>0.12</v>
      </c>
    </row>
    <row r="62" spans="3:25" ht="6.75" customHeight="1">
      <c r="C62" s="59"/>
      <c r="D62" s="59"/>
      <c r="E62" s="59"/>
      <c r="F62" s="59"/>
      <c r="G62" s="59"/>
      <c r="H62" s="59"/>
      <c r="I62" s="59"/>
      <c r="J62" s="305"/>
      <c r="K62" s="103"/>
      <c r="L62" s="103"/>
      <c r="M62" s="103"/>
      <c r="N62" s="103"/>
      <c r="O62" s="113"/>
      <c r="P62" s="62"/>
      <c r="Q62" s="54"/>
      <c r="R62" s="63"/>
      <c r="S62" s="103"/>
      <c r="V62" s="59"/>
      <c r="W62" s="59"/>
      <c r="X62" s="111"/>
      <c r="Y62" s="302"/>
    </row>
    <row r="63" spans="3:25" s="30" customFormat="1" ht="10.5" customHeight="1">
      <c r="C63" s="481" t="s">
        <v>341</v>
      </c>
      <c r="D63" s="481"/>
      <c r="E63" s="481"/>
      <c r="F63" s="481"/>
      <c r="G63" s="481"/>
      <c r="H63" s="481"/>
      <c r="I63" s="481"/>
      <c r="J63" s="299"/>
      <c r="K63" s="102">
        <v>8327</v>
      </c>
      <c r="L63" s="102">
        <v>22120</v>
      </c>
      <c r="M63" s="102">
        <v>11032</v>
      </c>
      <c r="N63" s="102">
        <v>11088</v>
      </c>
      <c r="O63" s="112">
        <f aca="true" t="shared" si="25" ref="O63:O69">SUM(L63/Y63)</f>
        <v>10634.615384615385</v>
      </c>
      <c r="P63" s="98">
        <f aca="true" t="shared" si="26" ref="P63:P69">ROUND(L63/K63,2)</f>
        <v>2.66</v>
      </c>
      <c r="Q63" s="96">
        <f aca="true" t="shared" si="27" ref="Q63:Q69">SUM(L63-S63)</f>
        <v>1020</v>
      </c>
      <c r="R63" s="99">
        <f aca="true" t="shared" si="28" ref="R63:R69">ROUND((Q63/S63)*100,2)</f>
        <v>4.83</v>
      </c>
      <c r="S63" s="102">
        <v>21100</v>
      </c>
      <c r="V63" s="481" t="s">
        <v>341</v>
      </c>
      <c r="W63" s="481"/>
      <c r="X63" s="110">
        <f>SUM(X64:X69)</f>
        <v>2.081</v>
      </c>
      <c r="Y63" s="301">
        <f aca="true" t="shared" si="29" ref="Y63:Y69">ROUND(X63,2)</f>
        <v>2.08</v>
      </c>
    </row>
    <row r="64" spans="3:25" ht="10.5" customHeight="1">
      <c r="C64" s="59"/>
      <c r="D64" s="59"/>
      <c r="E64" s="59"/>
      <c r="F64" s="482" t="s">
        <v>289</v>
      </c>
      <c r="G64" s="482"/>
      <c r="H64" s="482"/>
      <c r="I64" s="482"/>
      <c r="J64" s="305"/>
      <c r="K64" s="103">
        <v>1736</v>
      </c>
      <c r="L64" s="103">
        <v>4775</v>
      </c>
      <c r="M64" s="103">
        <v>2400</v>
      </c>
      <c r="N64" s="103">
        <v>2375</v>
      </c>
      <c r="O64" s="113">
        <f t="shared" si="25"/>
        <v>9550</v>
      </c>
      <c r="P64" s="62">
        <f t="shared" si="26"/>
        <v>2.75</v>
      </c>
      <c r="Q64" s="54">
        <f t="shared" si="27"/>
        <v>326</v>
      </c>
      <c r="R64" s="63">
        <f t="shared" si="28"/>
        <v>7.33</v>
      </c>
      <c r="S64" s="103">
        <v>4449</v>
      </c>
      <c r="V64" s="59"/>
      <c r="W64" s="82" t="s">
        <v>289</v>
      </c>
      <c r="X64" s="111">
        <v>0.496</v>
      </c>
      <c r="Y64" s="302">
        <f t="shared" si="29"/>
        <v>0.5</v>
      </c>
    </row>
    <row r="65" spans="3:25" ht="10.5" customHeight="1">
      <c r="C65" s="59"/>
      <c r="D65" s="59"/>
      <c r="E65" s="59"/>
      <c r="F65" s="482" t="s">
        <v>290</v>
      </c>
      <c r="G65" s="482"/>
      <c r="H65" s="482"/>
      <c r="I65" s="482"/>
      <c r="J65" s="305"/>
      <c r="K65" s="103">
        <v>1830</v>
      </c>
      <c r="L65" s="103">
        <v>5156</v>
      </c>
      <c r="M65" s="103">
        <v>2556</v>
      </c>
      <c r="N65" s="103">
        <v>2600</v>
      </c>
      <c r="O65" s="113">
        <f t="shared" si="25"/>
        <v>10970.212765957447</v>
      </c>
      <c r="P65" s="62">
        <f t="shared" si="26"/>
        <v>2.82</v>
      </c>
      <c r="Q65" s="54">
        <f t="shared" si="27"/>
        <v>162</v>
      </c>
      <c r="R65" s="63">
        <f t="shared" si="28"/>
        <v>3.24</v>
      </c>
      <c r="S65" s="103">
        <v>4994</v>
      </c>
      <c r="V65" s="59"/>
      <c r="W65" s="82" t="s">
        <v>290</v>
      </c>
      <c r="X65" s="111">
        <v>0.468</v>
      </c>
      <c r="Y65" s="302">
        <f t="shared" si="29"/>
        <v>0.47</v>
      </c>
    </row>
    <row r="66" spans="3:25" ht="10.5" customHeight="1">
      <c r="C66" s="59"/>
      <c r="D66" s="59"/>
      <c r="E66" s="59"/>
      <c r="F66" s="482" t="s">
        <v>294</v>
      </c>
      <c r="G66" s="482"/>
      <c r="H66" s="482"/>
      <c r="I66" s="482"/>
      <c r="J66" s="305"/>
      <c r="K66" s="103">
        <v>1524</v>
      </c>
      <c r="L66" s="103">
        <v>4176</v>
      </c>
      <c r="M66" s="103">
        <v>2096</v>
      </c>
      <c r="N66" s="103">
        <v>2080</v>
      </c>
      <c r="O66" s="113">
        <f t="shared" si="25"/>
        <v>10185.365853658537</v>
      </c>
      <c r="P66" s="62">
        <f t="shared" si="26"/>
        <v>2.74</v>
      </c>
      <c r="Q66" s="54">
        <f t="shared" si="27"/>
        <v>145</v>
      </c>
      <c r="R66" s="63">
        <f t="shared" si="28"/>
        <v>3.6</v>
      </c>
      <c r="S66" s="103">
        <v>4031</v>
      </c>
      <c r="V66" s="59"/>
      <c r="W66" s="82" t="s">
        <v>294</v>
      </c>
      <c r="X66" s="111">
        <v>0.41</v>
      </c>
      <c r="Y66" s="302">
        <f t="shared" si="29"/>
        <v>0.41</v>
      </c>
    </row>
    <row r="67" spans="3:25" ht="10.5" customHeight="1">
      <c r="C67" s="59"/>
      <c r="D67" s="59"/>
      <c r="E67" s="59"/>
      <c r="F67" s="482" t="s">
        <v>297</v>
      </c>
      <c r="G67" s="482"/>
      <c r="H67" s="482"/>
      <c r="I67" s="482"/>
      <c r="J67" s="305"/>
      <c r="K67" s="103">
        <v>1283</v>
      </c>
      <c r="L67" s="103">
        <v>3390</v>
      </c>
      <c r="M67" s="103">
        <v>1677</v>
      </c>
      <c r="N67" s="103">
        <v>1713</v>
      </c>
      <c r="O67" s="113">
        <f t="shared" si="25"/>
        <v>9970.588235294117</v>
      </c>
      <c r="P67" s="62">
        <f t="shared" si="26"/>
        <v>2.64</v>
      </c>
      <c r="Q67" s="54">
        <f t="shared" si="27"/>
        <v>260</v>
      </c>
      <c r="R67" s="63">
        <f t="shared" si="28"/>
        <v>8.31</v>
      </c>
      <c r="S67" s="103">
        <v>3130</v>
      </c>
      <c r="V67" s="59"/>
      <c r="W67" s="82" t="s">
        <v>297</v>
      </c>
      <c r="X67" s="111">
        <v>0.344</v>
      </c>
      <c r="Y67" s="302">
        <f t="shared" si="29"/>
        <v>0.34</v>
      </c>
    </row>
    <row r="68" spans="3:25" ht="10.5" customHeight="1">
      <c r="C68" s="59"/>
      <c r="D68" s="59"/>
      <c r="E68" s="59"/>
      <c r="F68" s="482" t="s">
        <v>300</v>
      </c>
      <c r="G68" s="482"/>
      <c r="H68" s="482"/>
      <c r="I68" s="482"/>
      <c r="J68" s="305"/>
      <c r="K68" s="103">
        <v>946</v>
      </c>
      <c r="L68" s="103">
        <v>2216</v>
      </c>
      <c r="M68" s="103">
        <v>1103</v>
      </c>
      <c r="N68" s="103">
        <v>1113</v>
      </c>
      <c r="O68" s="113">
        <f t="shared" si="25"/>
        <v>9634.782608695652</v>
      </c>
      <c r="P68" s="62">
        <f t="shared" si="26"/>
        <v>2.34</v>
      </c>
      <c r="Q68" s="54">
        <f t="shared" si="27"/>
        <v>33</v>
      </c>
      <c r="R68" s="63">
        <f t="shared" si="28"/>
        <v>1.51</v>
      </c>
      <c r="S68" s="103">
        <v>2183</v>
      </c>
      <c r="V68" s="59"/>
      <c r="W68" s="82" t="s">
        <v>300</v>
      </c>
      <c r="X68" s="111">
        <v>0.227</v>
      </c>
      <c r="Y68" s="302">
        <f t="shared" si="29"/>
        <v>0.23</v>
      </c>
    </row>
    <row r="69" spans="3:25" s="29" customFormat="1" ht="10.5" customHeight="1">
      <c r="C69" s="59"/>
      <c r="D69" s="59"/>
      <c r="E69" s="59"/>
      <c r="F69" s="482" t="s">
        <v>301</v>
      </c>
      <c r="G69" s="482"/>
      <c r="H69" s="482"/>
      <c r="I69" s="482"/>
      <c r="J69" s="305"/>
      <c r="K69" s="103">
        <v>1008</v>
      </c>
      <c r="L69" s="103">
        <v>2407</v>
      </c>
      <c r="M69" s="103">
        <v>1200</v>
      </c>
      <c r="N69" s="103">
        <v>1207</v>
      </c>
      <c r="O69" s="113">
        <f t="shared" si="25"/>
        <v>17192.85714285714</v>
      </c>
      <c r="P69" s="62">
        <f t="shared" si="26"/>
        <v>2.39</v>
      </c>
      <c r="Q69" s="54">
        <f t="shared" si="27"/>
        <v>94</v>
      </c>
      <c r="R69" s="63">
        <f t="shared" si="28"/>
        <v>4.06</v>
      </c>
      <c r="S69" s="103">
        <v>2313</v>
      </c>
      <c r="V69" s="59"/>
      <c r="W69" s="82" t="s">
        <v>301</v>
      </c>
      <c r="X69" s="111">
        <v>0.136</v>
      </c>
      <c r="Y69" s="302">
        <f t="shared" si="29"/>
        <v>0.14</v>
      </c>
    </row>
    <row r="70" spans="3:25" s="29" customFormat="1" ht="6.75" customHeight="1">
      <c r="C70" s="59"/>
      <c r="D70" s="59"/>
      <c r="E70" s="59"/>
      <c r="F70" s="59"/>
      <c r="G70" s="59"/>
      <c r="H70" s="59"/>
      <c r="I70" s="59"/>
      <c r="J70" s="305"/>
      <c r="K70" s="103"/>
      <c r="L70" s="103"/>
      <c r="M70" s="103"/>
      <c r="N70" s="103"/>
      <c r="O70" s="113"/>
      <c r="P70" s="62"/>
      <c r="Q70" s="54"/>
      <c r="R70" s="63"/>
      <c r="S70" s="103"/>
      <c r="V70" s="59"/>
      <c r="W70" s="59"/>
      <c r="X70" s="111"/>
      <c r="Y70" s="302"/>
    </row>
    <row r="71" spans="3:25" s="30" customFormat="1" ht="10.5" customHeight="1">
      <c r="C71" s="481" t="s">
        <v>32</v>
      </c>
      <c r="D71" s="481"/>
      <c r="E71" s="481"/>
      <c r="F71" s="481"/>
      <c r="G71" s="481"/>
      <c r="H71" s="481"/>
      <c r="I71" s="481"/>
      <c r="J71" s="299"/>
      <c r="K71" s="102">
        <v>12753</v>
      </c>
      <c r="L71" s="102">
        <v>33095</v>
      </c>
      <c r="M71" s="102">
        <v>16218</v>
      </c>
      <c r="N71" s="102">
        <v>16877</v>
      </c>
      <c r="O71" s="112">
        <f aca="true" t="shared" si="30" ref="O71:O80">SUM(L71/Y71)</f>
        <v>10277.950310559005</v>
      </c>
      <c r="P71" s="98">
        <f aca="true" t="shared" si="31" ref="P71:P80">ROUND(L71/K71,2)</f>
        <v>2.6</v>
      </c>
      <c r="Q71" s="96">
        <f aca="true" t="shared" si="32" ref="Q71:Q80">SUM(L71-S71)</f>
        <v>1730</v>
      </c>
      <c r="R71" s="99">
        <f aca="true" t="shared" si="33" ref="R71:R80">ROUND((Q71/S71)*100,2)</f>
        <v>5.52</v>
      </c>
      <c r="S71" s="102">
        <v>31365</v>
      </c>
      <c r="V71" s="481" t="s">
        <v>32</v>
      </c>
      <c r="W71" s="481"/>
      <c r="X71" s="110">
        <f>SUM(X72:X80)</f>
        <v>3.2159999999999997</v>
      </c>
      <c r="Y71" s="301">
        <f aca="true" t="shared" si="34" ref="Y71:Y80">ROUND(X71,2)</f>
        <v>3.22</v>
      </c>
    </row>
    <row r="72" spans="3:25" ht="10.5" customHeight="1">
      <c r="C72" s="59"/>
      <c r="D72" s="59"/>
      <c r="E72" s="59"/>
      <c r="F72" s="482" t="s">
        <v>289</v>
      </c>
      <c r="G72" s="482"/>
      <c r="H72" s="482"/>
      <c r="I72" s="482"/>
      <c r="J72" s="305"/>
      <c r="K72" s="103">
        <v>1177</v>
      </c>
      <c r="L72" s="103">
        <v>2873</v>
      </c>
      <c r="M72" s="103">
        <v>1420</v>
      </c>
      <c r="N72" s="103">
        <v>1453</v>
      </c>
      <c r="O72" s="113">
        <f t="shared" si="30"/>
        <v>11970.833333333334</v>
      </c>
      <c r="P72" s="62">
        <f t="shared" si="31"/>
        <v>2.44</v>
      </c>
      <c r="Q72" s="54">
        <f t="shared" si="32"/>
        <v>122</v>
      </c>
      <c r="R72" s="63">
        <f t="shared" si="33"/>
        <v>4.43</v>
      </c>
      <c r="S72" s="103">
        <v>2751</v>
      </c>
      <c r="V72" s="59"/>
      <c r="W72" s="82" t="s">
        <v>289</v>
      </c>
      <c r="X72" s="111">
        <v>0.235</v>
      </c>
      <c r="Y72" s="302">
        <f t="shared" si="34"/>
        <v>0.24</v>
      </c>
    </row>
    <row r="73" spans="3:25" ht="10.5" customHeight="1">
      <c r="C73" s="59"/>
      <c r="D73" s="59"/>
      <c r="E73" s="59"/>
      <c r="F73" s="482" t="s">
        <v>290</v>
      </c>
      <c r="G73" s="482"/>
      <c r="H73" s="482"/>
      <c r="I73" s="482"/>
      <c r="J73" s="305"/>
      <c r="K73" s="103">
        <v>1611</v>
      </c>
      <c r="L73" s="103">
        <v>3786</v>
      </c>
      <c r="M73" s="103">
        <v>1856</v>
      </c>
      <c r="N73" s="103">
        <v>1930</v>
      </c>
      <c r="O73" s="113">
        <f t="shared" si="30"/>
        <v>11472.727272727272</v>
      </c>
      <c r="P73" s="62">
        <f t="shared" si="31"/>
        <v>2.35</v>
      </c>
      <c r="Q73" s="54">
        <f t="shared" si="32"/>
        <v>259</v>
      </c>
      <c r="R73" s="63">
        <f t="shared" si="33"/>
        <v>7.34</v>
      </c>
      <c r="S73" s="103">
        <v>3527</v>
      </c>
      <c r="V73" s="59"/>
      <c r="W73" s="82" t="s">
        <v>290</v>
      </c>
      <c r="X73" s="111">
        <v>0.333</v>
      </c>
      <c r="Y73" s="302">
        <f t="shared" si="34"/>
        <v>0.33</v>
      </c>
    </row>
    <row r="74" spans="3:25" ht="10.5" customHeight="1">
      <c r="C74" s="59"/>
      <c r="D74" s="59"/>
      <c r="E74" s="59"/>
      <c r="F74" s="482" t="s">
        <v>294</v>
      </c>
      <c r="G74" s="482"/>
      <c r="H74" s="482"/>
      <c r="I74" s="482"/>
      <c r="J74" s="305"/>
      <c r="K74" s="103">
        <v>989</v>
      </c>
      <c r="L74" s="103">
        <v>2807</v>
      </c>
      <c r="M74" s="103">
        <v>1431</v>
      </c>
      <c r="N74" s="103">
        <v>1376</v>
      </c>
      <c r="O74" s="113">
        <f t="shared" si="30"/>
        <v>7797.222222222223</v>
      </c>
      <c r="P74" s="62">
        <f t="shared" si="31"/>
        <v>2.84</v>
      </c>
      <c r="Q74" s="54">
        <f t="shared" si="32"/>
        <v>120</v>
      </c>
      <c r="R74" s="63">
        <f t="shared" si="33"/>
        <v>4.47</v>
      </c>
      <c r="S74" s="103">
        <v>2687</v>
      </c>
      <c r="V74" s="59"/>
      <c r="W74" s="82" t="s">
        <v>294</v>
      </c>
      <c r="X74" s="111">
        <v>0.363</v>
      </c>
      <c r="Y74" s="302">
        <f t="shared" si="34"/>
        <v>0.36</v>
      </c>
    </row>
    <row r="75" spans="3:25" ht="10.5" customHeight="1">
      <c r="C75" s="59"/>
      <c r="D75" s="59"/>
      <c r="E75" s="59"/>
      <c r="F75" s="482" t="s">
        <v>297</v>
      </c>
      <c r="G75" s="482"/>
      <c r="H75" s="482"/>
      <c r="I75" s="482"/>
      <c r="J75" s="305"/>
      <c r="K75" s="103">
        <v>1533</v>
      </c>
      <c r="L75" s="103">
        <v>4093</v>
      </c>
      <c r="M75" s="103">
        <v>1992</v>
      </c>
      <c r="N75" s="103">
        <v>2101</v>
      </c>
      <c r="O75" s="113">
        <f t="shared" si="30"/>
        <v>10771.052631578947</v>
      </c>
      <c r="P75" s="62">
        <f t="shared" si="31"/>
        <v>2.67</v>
      </c>
      <c r="Q75" s="54">
        <f t="shared" si="32"/>
        <v>295</v>
      </c>
      <c r="R75" s="63">
        <f t="shared" si="33"/>
        <v>7.77</v>
      </c>
      <c r="S75" s="103">
        <v>3798</v>
      </c>
      <c r="V75" s="59"/>
      <c r="W75" s="82" t="s">
        <v>297</v>
      </c>
      <c r="X75" s="111">
        <v>0.383</v>
      </c>
      <c r="Y75" s="302">
        <f t="shared" si="34"/>
        <v>0.38</v>
      </c>
    </row>
    <row r="76" spans="3:25" ht="10.5" customHeight="1">
      <c r="C76" s="59"/>
      <c r="D76" s="59"/>
      <c r="E76" s="59"/>
      <c r="F76" s="482" t="s">
        <v>300</v>
      </c>
      <c r="G76" s="482"/>
      <c r="H76" s="482"/>
      <c r="I76" s="482"/>
      <c r="J76" s="305"/>
      <c r="K76" s="103">
        <v>1658</v>
      </c>
      <c r="L76" s="103">
        <v>4249</v>
      </c>
      <c r="M76" s="103">
        <v>2107</v>
      </c>
      <c r="N76" s="103">
        <v>2142</v>
      </c>
      <c r="O76" s="113">
        <f t="shared" si="30"/>
        <v>11181.578947368422</v>
      </c>
      <c r="P76" s="62">
        <f t="shared" si="31"/>
        <v>2.56</v>
      </c>
      <c r="Q76" s="54">
        <f t="shared" si="32"/>
        <v>329</v>
      </c>
      <c r="R76" s="63">
        <f t="shared" si="33"/>
        <v>8.39</v>
      </c>
      <c r="S76" s="103">
        <v>3920</v>
      </c>
      <c r="V76" s="59"/>
      <c r="W76" s="82" t="s">
        <v>300</v>
      </c>
      <c r="X76" s="111">
        <v>0.384</v>
      </c>
      <c r="Y76" s="302">
        <f t="shared" si="34"/>
        <v>0.38</v>
      </c>
    </row>
    <row r="77" spans="3:25" ht="10.5" customHeight="1">
      <c r="C77" s="59"/>
      <c r="D77" s="59"/>
      <c r="E77" s="59"/>
      <c r="F77" s="482" t="s">
        <v>301</v>
      </c>
      <c r="G77" s="482"/>
      <c r="H77" s="482"/>
      <c r="I77" s="482"/>
      <c r="J77" s="305"/>
      <c r="K77" s="103">
        <v>1876</v>
      </c>
      <c r="L77" s="103">
        <v>5180</v>
      </c>
      <c r="M77" s="103">
        <v>2510</v>
      </c>
      <c r="N77" s="103">
        <v>2670</v>
      </c>
      <c r="O77" s="113">
        <f t="shared" si="30"/>
        <v>12046.511627906977</v>
      </c>
      <c r="P77" s="62">
        <f t="shared" si="31"/>
        <v>2.76</v>
      </c>
      <c r="Q77" s="54">
        <f t="shared" si="32"/>
        <v>43</v>
      </c>
      <c r="R77" s="63">
        <f t="shared" si="33"/>
        <v>0.84</v>
      </c>
      <c r="S77" s="103">
        <v>5137</v>
      </c>
      <c r="V77" s="59"/>
      <c r="W77" s="82" t="s">
        <v>301</v>
      </c>
      <c r="X77" s="111">
        <v>0.427</v>
      </c>
      <c r="Y77" s="302">
        <f t="shared" si="34"/>
        <v>0.43</v>
      </c>
    </row>
    <row r="78" spans="3:25" ht="10.5" customHeight="1">
      <c r="C78" s="59"/>
      <c r="D78" s="59"/>
      <c r="E78" s="59"/>
      <c r="F78" s="482" t="s">
        <v>316</v>
      </c>
      <c r="G78" s="482"/>
      <c r="H78" s="482"/>
      <c r="I78" s="482"/>
      <c r="J78" s="305"/>
      <c r="K78" s="103">
        <v>2025</v>
      </c>
      <c r="L78" s="103">
        <v>5107</v>
      </c>
      <c r="M78" s="103">
        <v>2428</v>
      </c>
      <c r="N78" s="103">
        <v>2679</v>
      </c>
      <c r="O78" s="113">
        <f t="shared" si="30"/>
        <v>12767.5</v>
      </c>
      <c r="P78" s="62">
        <f t="shared" si="31"/>
        <v>2.52</v>
      </c>
      <c r="Q78" s="54">
        <f t="shared" si="32"/>
        <v>551</v>
      </c>
      <c r="R78" s="63">
        <f t="shared" si="33"/>
        <v>12.09</v>
      </c>
      <c r="S78" s="103">
        <v>4556</v>
      </c>
      <c r="V78" s="59"/>
      <c r="W78" s="82" t="s">
        <v>316</v>
      </c>
      <c r="X78" s="111">
        <v>0.4</v>
      </c>
      <c r="Y78" s="302">
        <f t="shared" si="34"/>
        <v>0.4</v>
      </c>
    </row>
    <row r="79" spans="3:25" ht="10.5" customHeight="1">
      <c r="C79" s="59"/>
      <c r="D79" s="59"/>
      <c r="E79" s="59"/>
      <c r="F79" s="482" t="s">
        <v>317</v>
      </c>
      <c r="G79" s="482"/>
      <c r="H79" s="482"/>
      <c r="I79" s="482"/>
      <c r="J79" s="305"/>
      <c r="K79" s="103">
        <v>1878</v>
      </c>
      <c r="L79" s="103">
        <v>4883</v>
      </c>
      <c r="M79" s="103">
        <v>2405</v>
      </c>
      <c r="N79" s="103">
        <v>2478</v>
      </c>
      <c r="O79" s="113">
        <f t="shared" si="30"/>
        <v>13563.888888888889</v>
      </c>
      <c r="P79" s="62">
        <f t="shared" si="31"/>
        <v>2.6</v>
      </c>
      <c r="Q79" s="54">
        <f t="shared" si="32"/>
        <v>14</v>
      </c>
      <c r="R79" s="63">
        <f t="shared" si="33"/>
        <v>0.29</v>
      </c>
      <c r="S79" s="103">
        <v>4869</v>
      </c>
      <c r="V79" s="59"/>
      <c r="W79" s="82" t="s">
        <v>317</v>
      </c>
      <c r="X79" s="111">
        <v>0.355</v>
      </c>
      <c r="Y79" s="302">
        <f t="shared" si="34"/>
        <v>0.36</v>
      </c>
    </row>
    <row r="80" spans="3:25" ht="10.5" customHeight="1">
      <c r="C80" s="59"/>
      <c r="D80" s="59"/>
      <c r="E80" s="59"/>
      <c r="F80" s="482" t="s">
        <v>33</v>
      </c>
      <c r="G80" s="482"/>
      <c r="H80" s="482"/>
      <c r="I80" s="482"/>
      <c r="J80" s="305"/>
      <c r="K80" s="103">
        <v>6</v>
      </c>
      <c r="L80" s="103">
        <v>117</v>
      </c>
      <c r="M80" s="103">
        <v>69</v>
      </c>
      <c r="N80" s="103">
        <v>48</v>
      </c>
      <c r="O80" s="113">
        <f t="shared" si="30"/>
        <v>344.1176470588235</v>
      </c>
      <c r="P80" s="62">
        <f t="shared" si="31"/>
        <v>19.5</v>
      </c>
      <c r="Q80" s="54">
        <f t="shared" si="32"/>
        <v>-3</v>
      </c>
      <c r="R80" s="63">
        <f t="shared" si="33"/>
        <v>-2.5</v>
      </c>
      <c r="S80" s="103">
        <v>120</v>
      </c>
      <c r="V80" s="59"/>
      <c r="W80" s="82" t="s">
        <v>33</v>
      </c>
      <c r="X80" s="111">
        <v>0.336</v>
      </c>
      <c r="Y80" s="302">
        <f t="shared" si="34"/>
        <v>0.34</v>
      </c>
    </row>
    <row r="81" spans="3:25" ht="10.5" customHeight="1">
      <c r="C81" s="32"/>
      <c r="D81" s="32"/>
      <c r="E81" s="32"/>
      <c r="F81" s="32"/>
      <c r="G81" s="32"/>
      <c r="H81" s="32"/>
      <c r="I81" s="32"/>
      <c r="J81" s="153"/>
      <c r="K81" s="105"/>
      <c r="L81" s="105"/>
      <c r="M81" s="105"/>
      <c r="N81" s="105"/>
      <c r="O81" s="105"/>
      <c r="P81" s="32"/>
      <c r="Q81" s="32"/>
      <c r="R81" s="32"/>
      <c r="S81" s="32"/>
      <c r="V81" s="29"/>
      <c r="W81" s="29"/>
      <c r="X81" s="29"/>
      <c r="Y81" s="29"/>
    </row>
    <row r="82" spans="22:25" ht="10.5" customHeight="1">
      <c r="V82" s="29"/>
      <c r="W82" s="29"/>
      <c r="X82" s="29"/>
      <c r="Y82" s="29"/>
    </row>
    <row r="83" ht="15.75" customHeight="1"/>
    <row r="84" ht="15.75" customHeight="1"/>
    <row r="85" ht="15.75" customHeight="1"/>
    <row r="86" ht="15.75" customHeight="1">
      <c r="G86" s="27" t="s">
        <v>34</v>
      </c>
    </row>
    <row r="87" ht="15.75" customHeight="1"/>
    <row r="88" ht="15.75" customHeight="1"/>
    <row r="89" spans="3:23" ht="15.75" customHeight="1">
      <c r="C89" s="484" t="s">
        <v>320</v>
      </c>
      <c r="D89" s="484"/>
      <c r="E89" s="484"/>
      <c r="F89" s="484"/>
      <c r="G89" s="484"/>
      <c r="H89" s="484"/>
      <c r="I89" s="484"/>
      <c r="J89" s="59"/>
      <c r="K89" s="308">
        <f>SUM(K9,K17,K19,K23,K29,K36,K45,K47,K55,K63,K71)</f>
        <v>83476</v>
      </c>
      <c r="L89" s="308">
        <f>SUM(L9,L17,L19,L23,L29,L36,L45,L47,L55,L63,L71)</f>
        <v>198184</v>
      </c>
      <c r="M89" s="308">
        <f>SUM(M9,M17,M19,M23,M29,M36,M45,M47,M55,M63,M71)</f>
        <v>97512</v>
      </c>
      <c r="N89" s="308">
        <f>SUM(N9,N17,N19,N23,N29,N36,N45,N47,N55,N63,N71)</f>
        <v>100672</v>
      </c>
      <c r="O89" s="308"/>
      <c r="P89" s="100"/>
      <c r="Q89" s="309"/>
      <c r="R89" s="310"/>
      <c r="S89" s="308">
        <f>SUM(S9,S17,S19,S23,S29,S36,S45,S47,S55,S63,S71)</f>
        <v>188332</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71:W71"/>
    <mergeCell ref="F72:I72"/>
    <mergeCell ref="C89:I89"/>
    <mergeCell ref="V89:W89"/>
    <mergeCell ref="F75:I75"/>
    <mergeCell ref="F76:I76"/>
    <mergeCell ref="F77:I77"/>
    <mergeCell ref="F78:I78"/>
    <mergeCell ref="F79:I79"/>
    <mergeCell ref="F80:I80"/>
    <mergeCell ref="F73:I73"/>
    <mergeCell ref="F74:I74"/>
    <mergeCell ref="V63:W63"/>
    <mergeCell ref="F64:I64"/>
    <mergeCell ref="F65:I65"/>
    <mergeCell ref="F66:I66"/>
    <mergeCell ref="F67:I67"/>
    <mergeCell ref="F68:I68"/>
    <mergeCell ref="F69:I69"/>
    <mergeCell ref="C71:I71"/>
    <mergeCell ref="F61:I61"/>
    <mergeCell ref="C63:I63"/>
    <mergeCell ref="F51:I51"/>
    <mergeCell ref="F52:I52"/>
    <mergeCell ref="F53:I53"/>
    <mergeCell ref="C55:I55"/>
    <mergeCell ref="F57:I57"/>
    <mergeCell ref="F58:I58"/>
    <mergeCell ref="F59:I59"/>
    <mergeCell ref="F60:I60"/>
    <mergeCell ref="F38:I38"/>
    <mergeCell ref="V55:W55"/>
    <mergeCell ref="F56:I56"/>
    <mergeCell ref="V45:W45"/>
    <mergeCell ref="C47:I47"/>
    <mergeCell ref="V47:W47"/>
    <mergeCell ref="F48:I48"/>
    <mergeCell ref="F49:I49"/>
    <mergeCell ref="F50:I50"/>
    <mergeCell ref="V36:W36"/>
    <mergeCell ref="F43:I43"/>
    <mergeCell ref="C45:I45"/>
    <mergeCell ref="F33:I33"/>
    <mergeCell ref="F34:I34"/>
    <mergeCell ref="C36:I36"/>
    <mergeCell ref="F39:I39"/>
    <mergeCell ref="F40:I40"/>
    <mergeCell ref="F41:I41"/>
    <mergeCell ref="F42:I42"/>
    <mergeCell ref="F24:I24"/>
    <mergeCell ref="F27:I27"/>
    <mergeCell ref="C29:I29"/>
    <mergeCell ref="V29:W29"/>
    <mergeCell ref="F37:I37"/>
    <mergeCell ref="F25:I25"/>
    <mergeCell ref="F26:I26"/>
    <mergeCell ref="F31:I31"/>
    <mergeCell ref="F32:I32"/>
    <mergeCell ref="F30:I30"/>
    <mergeCell ref="C17:I17"/>
    <mergeCell ref="F21:I21"/>
    <mergeCell ref="C23:I23"/>
    <mergeCell ref="V17:W17"/>
    <mergeCell ref="C19:I19"/>
    <mergeCell ref="V19:W19"/>
    <mergeCell ref="F20:I20"/>
    <mergeCell ref="V23:W23"/>
    <mergeCell ref="F13:I13"/>
    <mergeCell ref="F14:I14"/>
    <mergeCell ref="F15:I15"/>
    <mergeCell ref="C9:I9"/>
    <mergeCell ref="V9:W9"/>
    <mergeCell ref="F10:I10"/>
    <mergeCell ref="F11:I11"/>
    <mergeCell ref="B3:S3"/>
    <mergeCell ref="B5:J6"/>
    <mergeCell ref="K5:K6"/>
    <mergeCell ref="L5:N5"/>
    <mergeCell ref="Q5:R5"/>
    <mergeCell ref="F12:I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B3" sqref="B3:T3"/>
    </sheetView>
  </sheetViews>
  <sheetFormatPr defaultColWidth="9.00390625" defaultRowHeight="13.5"/>
  <cols>
    <col min="1" max="14" width="1.625" style="241" customWidth="1"/>
    <col min="15" max="20" width="12.875" style="241" customWidth="1"/>
    <col min="21" max="21" width="1.625" style="241" customWidth="1"/>
    <col min="22" max="16384" width="9.00390625" style="241" customWidth="1"/>
  </cols>
  <sheetData>
    <row r="1" spans="1:21" ht="10.5" customHeight="1">
      <c r="A1" s="240"/>
      <c r="C1" s="242"/>
      <c r="E1" s="242"/>
      <c r="F1" s="242"/>
      <c r="G1" s="242"/>
      <c r="H1" s="242"/>
      <c r="I1" s="242"/>
      <c r="J1" s="242"/>
      <c r="K1" s="242"/>
      <c r="L1" s="242"/>
      <c r="M1" s="242"/>
      <c r="N1" s="242"/>
      <c r="O1" s="242"/>
      <c r="U1" s="337" t="s">
        <v>491</v>
      </c>
    </row>
    <row r="2" ht="10.5" customHeight="1">
      <c r="E2" s="242"/>
    </row>
    <row r="3" spans="2:20" s="243" customFormat="1" ht="18" customHeight="1">
      <c r="B3" s="445" t="s">
        <v>405</v>
      </c>
      <c r="C3" s="445"/>
      <c r="D3" s="445"/>
      <c r="E3" s="445"/>
      <c r="F3" s="445"/>
      <c r="G3" s="445"/>
      <c r="H3" s="445"/>
      <c r="I3" s="445"/>
      <c r="J3" s="445"/>
      <c r="K3" s="445"/>
      <c r="L3" s="445"/>
      <c r="M3" s="445"/>
      <c r="N3" s="445"/>
      <c r="O3" s="445"/>
      <c r="P3" s="445"/>
      <c r="Q3" s="445"/>
      <c r="R3" s="445"/>
      <c r="S3" s="445"/>
      <c r="T3" s="445"/>
    </row>
    <row r="4" spans="2:21" ht="12.75" customHeight="1">
      <c r="B4" s="84"/>
      <c r="C4" s="84"/>
      <c r="D4" s="84"/>
      <c r="E4" s="84"/>
      <c r="F4" s="84"/>
      <c r="G4" s="84"/>
      <c r="H4" s="84"/>
      <c r="I4" s="84"/>
      <c r="J4" s="84"/>
      <c r="K4" s="84"/>
      <c r="L4" s="84"/>
      <c r="M4" s="84"/>
      <c r="N4" s="84"/>
      <c r="O4" s="84"/>
      <c r="P4" s="84"/>
      <c r="Q4" s="84"/>
      <c r="R4" s="84"/>
      <c r="T4" s="82" t="s">
        <v>483</v>
      </c>
      <c r="U4" s="82"/>
    </row>
    <row r="5" spans="2:21" ht="13.5" customHeight="1">
      <c r="B5" s="490" t="s">
        <v>356</v>
      </c>
      <c r="C5" s="490"/>
      <c r="D5" s="490"/>
      <c r="E5" s="490"/>
      <c r="F5" s="490"/>
      <c r="G5" s="490"/>
      <c r="H5" s="490"/>
      <c r="I5" s="490"/>
      <c r="J5" s="490"/>
      <c r="K5" s="490"/>
      <c r="L5" s="490"/>
      <c r="M5" s="490"/>
      <c r="N5" s="491"/>
      <c r="O5" s="491" t="s">
        <v>355</v>
      </c>
      <c r="P5" s="488"/>
      <c r="Q5" s="488"/>
      <c r="R5" s="488" t="s">
        <v>357</v>
      </c>
      <c r="S5" s="488"/>
      <c r="T5" s="489"/>
      <c r="U5" s="244"/>
    </row>
    <row r="6" spans="2:21" ht="13.5" customHeight="1">
      <c r="B6" s="492"/>
      <c r="C6" s="492"/>
      <c r="D6" s="492"/>
      <c r="E6" s="492"/>
      <c r="F6" s="492"/>
      <c r="G6" s="492"/>
      <c r="H6" s="492"/>
      <c r="I6" s="492"/>
      <c r="J6" s="492"/>
      <c r="K6" s="492"/>
      <c r="L6" s="492"/>
      <c r="M6" s="492"/>
      <c r="N6" s="493"/>
      <c r="O6" s="245" t="s">
        <v>363</v>
      </c>
      <c r="P6" s="246" t="s">
        <v>231</v>
      </c>
      <c r="Q6" s="246" t="s">
        <v>232</v>
      </c>
      <c r="R6" s="246" t="s">
        <v>363</v>
      </c>
      <c r="S6" s="246" t="s">
        <v>231</v>
      </c>
      <c r="T6" s="247" t="s">
        <v>232</v>
      </c>
      <c r="U6" s="244"/>
    </row>
    <row r="7" spans="2:14" ht="10.5" customHeight="1">
      <c r="B7" s="84"/>
      <c r="C7" s="84"/>
      <c r="D7" s="84"/>
      <c r="E7" s="84"/>
      <c r="F7" s="84"/>
      <c r="G7" s="84"/>
      <c r="H7" s="84"/>
      <c r="I7" s="84"/>
      <c r="J7" s="84"/>
      <c r="K7" s="84"/>
      <c r="L7" s="84"/>
      <c r="M7" s="84"/>
      <c r="N7" s="248"/>
    </row>
    <row r="8" spans="2:21" s="249" customFormat="1" ht="10.5" customHeight="1">
      <c r="B8" s="250"/>
      <c r="C8" s="481" t="s">
        <v>181</v>
      </c>
      <c r="D8" s="481"/>
      <c r="E8" s="481"/>
      <c r="F8" s="481"/>
      <c r="G8" s="481"/>
      <c r="H8" s="481"/>
      <c r="I8" s="481"/>
      <c r="J8" s="481"/>
      <c r="K8" s="481"/>
      <c r="L8" s="481"/>
      <c r="M8" s="481"/>
      <c r="N8" s="251"/>
      <c r="O8" s="252">
        <f aca="true" t="shared" si="0" ref="O8:T8">SUM(O10,O39,O54)</f>
        <v>81332</v>
      </c>
      <c r="P8" s="252">
        <f t="shared" si="0"/>
        <v>71629</v>
      </c>
      <c r="Q8" s="252">
        <f t="shared" si="0"/>
        <v>9703</v>
      </c>
      <c r="R8" s="252">
        <f t="shared" si="0"/>
        <v>192384</v>
      </c>
      <c r="S8" s="252">
        <f t="shared" si="0"/>
        <v>167532</v>
      </c>
      <c r="T8" s="252">
        <f t="shared" si="0"/>
        <v>24852</v>
      </c>
      <c r="U8" s="253"/>
    </row>
    <row r="9" spans="2:21" ht="7.5" customHeight="1">
      <c r="B9" s="84"/>
      <c r="C9" s="59"/>
      <c r="D9" s="59"/>
      <c r="E9" s="59"/>
      <c r="F9" s="59"/>
      <c r="G9" s="59"/>
      <c r="H9" s="59"/>
      <c r="I9" s="59"/>
      <c r="J9" s="59"/>
      <c r="K9" s="59"/>
      <c r="L9" s="59"/>
      <c r="M9" s="59"/>
      <c r="N9" s="248"/>
      <c r="O9" s="254"/>
      <c r="P9" s="255"/>
      <c r="Q9" s="255"/>
      <c r="R9" s="255"/>
      <c r="S9" s="255"/>
      <c r="T9" s="255"/>
      <c r="U9" s="256"/>
    </row>
    <row r="10" spans="2:21" s="249" customFormat="1" ht="10.5" customHeight="1">
      <c r="B10" s="250"/>
      <c r="C10" s="481" t="s">
        <v>104</v>
      </c>
      <c r="D10" s="481"/>
      <c r="E10" s="481"/>
      <c r="F10" s="481"/>
      <c r="G10" s="481"/>
      <c r="H10" s="481"/>
      <c r="I10" s="481"/>
      <c r="J10" s="481"/>
      <c r="K10" s="481"/>
      <c r="L10" s="481"/>
      <c r="M10" s="481"/>
      <c r="N10" s="251"/>
      <c r="O10" s="252">
        <f aca="true" t="shared" si="1" ref="O10:T10">SUM(O12:O37)</f>
        <v>25405</v>
      </c>
      <c r="P10" s="252">
        <f>SUM(P12:P37)</f>
        <v>22172</v>
      </c>
      <c r="Q10" s="252">
        <f>SUM(Q12:Q37)</f>
        <v>3233</v>
      </c>
      <c r="R10" s="252">
        <f t="shared" si="1"/>
        <v>155549</v>
      </c>
      <c r="S10" s="252">
        <f t="shared" si="1"/>
        <v>137677</v>
      </c>
      <c r="T10" s="252">
        <f t="shared" si="1"/>
        <v>17872</v>
      </c>
      <c r="U10" s="257"/>
    </row>
    <row r="11" spans="2:21" ht="7.5" customHeight="1">
      <c r="B11" s="84"/>
      <c r="C11" s="59"/>
      <c r="D11" s="59"/>
      <c r="E11" s="59"/>
      <c r="F11" s="59"/>
      <c r="G11" s="59"/>
      <c r="H11" s="59"/>
      <c r="I11" s="59"/>
      <c r="J11" s="59"/>
      <c r="K11" s="59"/>
      <c r="L11" s="59"/>
      <c r="M11" s="59"/>
      <c r="N11" s="248"/>
      <c r="O11" s="254"/>
      <c r="P11" s="258"/>
      <c r="Q11" s="258"/>
      <c r="R11" s="258"/>
      <c r="S11" s="258"/>
      <c r="T11" s="255"/>
      <c r="U11" s="256"/>
    </row>
    <row r="12" spans="2:21" ht="10.5" customHeight="1">
      <c r="B12" s="84"/>
      <c r="C12" s="84"/>
      <c r="D12" s="59"/>
      <c r="E12" s="484" t="s">
        <v>105</v>
      </c>
      <c r="F12" s="484"/>
      <c r="G12" s="484"/>
      <c r="H12" s="484"/>
      <c r="I12" s="484"/>
      <c r="J12" s="484"/>
      <c r="K12" s="484"/>
      <c r="L12" s="484"/>
      <c r="M12" s="484"/>
      <c r="N12" s="248"/>
      <c r="O12" s="258">
        <f>SUM(P12:Q12)</f>
        <v>86</v>
      </c>
      <c r="P12" s="258">
        <v>74</v>
      </c>
      <c r="Q12" s="258">
        <v>12</v>
      </c>
      <c r="R12" s="258">
        <f>SUM(S12:T12)</f>
        <v>20763</v>
      </c>
      <c r="S12" s="258">
        <v>19035</v>
      </c>
      <c r="T12" s="258">
        <v>1728</v>
      </c>
      <c r="U12" s="256"/>
    </row>
    <row r="13" spans="2:21" ht="10.5" customHeight="1">
      <c r="B13" s="84"/>
      <c r="C13" s="84"/>
      <c r="D13" s="59"/>
      <c r="E13" s="484" t="s">
        <v>106</v>
      </c>
      <c r="F13" s="484"/>
      <c r="G13" s="484"/>
      <c r="H13" s="484"/>
      <c r="I13" s="484"/>
      <c r="J13" s="484"/>
      <c r="K13" s="484"/>
      <c r="L13" s="484"/>
      <c r="M13" s="484"/>
      <c r="N13" s="248"/>
      <c r="O13" s="258">
        <f>SUM(P13:Q13)</f>
        <v>105</v>
      </c>
      <c r="P13" s="258">
        <v>84</v>
      </c>
      <c r="Q13" s="258">
        <v>21</v>
      </c>
      <c r="R13" s="258">
        <f>SUM(S13:T13)</f>
        <v>11525</v>
      </c>
      <c r="S13" s="258">
        <v>11447</v>
      </c>
      <c r="T13" s="258">
        <v>78</v>
      </c>
      <c r="U13" s="256"/>
    </row>
    <row r="14" spans="2:21" ht="10.5" customHeight="1">
      <c r="B14" s="84"/>
      <c r="C14" s="84"/>
      <c r="D14" s="59"/>
      <c r="E14" s="484" t="s">
        <v>107</v>
      </c>
      <c r="F14" s="484"/>
      <c r="G14" s="484"/>
      <c r="H14" s="484"/>
      <c r="I14" s="484"/>
      <c r="J14" s="484"/>
      <c r="K14" s="484"/>
      <c r="L14" s="484"/>
      <c r="M14" s="484"/>
      <c r="N14" s="248"/>
      <c r="O14" s="258">
        <f>SUM(P14:Q14)</f>
        <v>187</v>
      </c>
      <c r="P14" s="258">
        <v>157</v>
      </c>
      <c r="Q14" s="258">
        <v>30</v>
      </c>
      <c r="R14" s="258">
        <f>SUM(S14:T14)</f>
        <v>16287</v>
      </c>
      <c r="S14" s="258">
        <v>15695</v>
      </c>
      <c r="T14" s="258">
        <v>592</v>
      </c>
      <c r="U14" s="256"/>
    </row>
    <row r="15" spans="2:21" ht="10.5" customHeight="1">
      <c r="B15" s="84"/>
      <c r="C15" s="84"/>
      <c r="D15" s="59"/>
      <c r="E15" s="484" t="s">
        <v>108</v>
      </c>
      <c r="F15" s="484"/>
      <c r="G15" s="484"/>
      <c r="H15" s="484"/>
      <c r="I15" s="484"/>
      <c r="J15" s="484"/>
      <c r="K15" s="484"/>
      <c r="L15" s="484"/>
      <c r="M15" s="484"/>
      <c r="N15" s="248"/>
      <c r="O15" s="258">
        <f>SUM(P15:Q15)</f>
        <v>1284</v>
      </c>
      <c r="P15" s="258">
        <v>1068</v>
      </c>
      <c r="Q15" s="258">
        <v>216</v>
      </c>
      <c r="R15" s="258">
        <f>SUM(S15:T15)</f>
        <v>22887</v>
      </c>
      <c r="S15" s="258">
        <v>19764</v>
      </c>
      <c r="T15" s="258">
        <v>3123</v>
      </c>
      <c r="U15" s="256"/>
    </row>
    <row r="16" spans="2:21" ht="10.5" customHeight="1">
      <c r="B16" s="84"/>
      <c r="C16" s="84"/>
      <c r="D16" s="59"/>
      <c r="E16" s="484" t="s">
        <v>109</v>
      </c>
      <c r="F16" s="484"/>
      <c r="G16" s="484"/>
      <c r="H16" s="484"/>
      <c r="I16" s="484"/>
      <c r="J16" s="484"/>
      <c r="K16" s="484"/>
      <c r="L16" s="484"/>
      <c r="M16" s="484"/>
      <c r="N16" s="248"/>
      <c r="O16" s="258">
        <f>SUM(P16:Q16)</f>
        <v>605</v>
      </c>
      <c r="P16" s="258">
        <v>524</v>
      </c>
      <c r="Q16" s="258">
        <v>81</v>
      </c>
      <c r="R16" s="258">
        <f>SUM(S16:T16)</f>
        <v>7938</v>
      </c>
      <c r="S16" s="258">
        <v>6137</v>
      </c>
      <c r="T16" s="258">
        <v>1801</v>
      </c>
      <c r="U16" s="256"/>
    </row>
    <row r="17" spans="2:21" ht="7.5" customHeight="1">
      <c r="B17" s="84"/>
      <c r="C17" s="59"/>
      <c r="D17" s="59"/>
      <c r="E17" s="59"/>
      <c r="F17" s="59"/>
      <c r="G17" s="59"/>
      <c r="H17" s="59"/>
      <c r="I17" s="59"/>
      <c r="J17" s="59"/>
      <c r="K17" s="59"/>
      <c r="L17" s="59"/>
      <c r="M17" s="59"/>
      <c r="N17" s="248"/>
      <c r="O17" s="254"/>
      <c r="R17" s="255"/>
      <c r="S17" s="255"/>
      <c r="T17" s="255"/>
      <c r="U17" s="256"/>
    </row>
    <row r="18" spans="2:21" ht="10.5" customHeight="1">
      <c r="B18" s="84"/>
      <c r="C18" s="84"/>
      <c r="D18" s="59"/>
      <c r="E18" s="484" t="s">
        <v>110</v>
      </c>
      <c r="F18" s="484"/>
      <c r="G18" s="484"/>
      <c r="H18" s="484"/>
      <c r="I18" s="484"/>
      <c r="J18" s="484"/>
      <c r="K18" s="484"/>
      <c r="L18" s="484"/>
      <c r="M18" s="484"/>
      <c r="N18" s="248"/>
      <c r="O18" s="258">
        <f>SUM(P18:Q18)</f>
        <v>212</v>
      </c>
      <c r="P18" s="255">
        <v>175</v>
      </c>
      <c r="Q18" s="255">
        <v>37</v>
      </c>
      <c r="R18" s="258">
        <f>SUM(S18:T18)</f>
        <v>2810</v>
      </c>
      <c r="S18" s="258">
        <v>2581</v>
      </c>
      <c r="T18" s="258">
        <v>229</v>
      </c>
      <c r="U18" s="256"/>
    </row>
    <row r="19" spans="2:21" ht="10.5" customHeight="1">
      <c r="B19" s="84"/>
      <c r="C19" s="84"/>
      <c r="D19" s="59"/>
      <c r="E19" s="484" t="s">
        <v>111</v>
      </c>
      <c r="F19" s="484"/>
      <c r="G19" s="484"/>
      <c r="H19" s="484"/>
      <c r="I19" s="484"/>
      <c r="J19" s="484"/>
      <c r="K19" s="484"/>
      <c r="L19" s="484"/>
      <c r="M19" s="484"/>
      <c r="N19" s="248"/>
      <c r="O19" s="258">
        <f aca="true" t="shared" si="2" ref="O19:O37">SUM(P19:Q19)</f>
        <v>237</v>
      </c>
      <c r="P19" s="258">
        <v>211</v>
      </c>
      <c r="Q19" s="258">
        <v>26</v>
      </c>
      <c r="R19" s="258">
        <f>SUM(S19:T19)</f>
        <v>1136</v>
      </c>
      <c r="S19" s="258">
        <v>1076</v>
      </c>
      <c r="T19" s="258">
        <v>60</v>
      </c>
      <c r="U19" s="256"/>
    </row>
    <row r="20" spans="2:21" ht="10.5" customHeight="1">
      <c r="B20" s="84"/>
      <c r="C20" s="84"/>
      <c r="D20" s="59"/>
      <c r="E20" s="484" t="s">
        <v>112</v>
      </c>
      <c r="F20" s="484"/>
      <c r="G20" s="484"/>
      <c r="H20" s="484"/>
      <c r="I20" s="484"/>
      <c r="J20" s="484"/>
      <c r="K20" s="484"/>
      <c r="L20" s="484"/>
      <c r="M20" s="484"/>
      <c r="N20" s="248"/>
      <c r="O20" s="258">
        <f t="shared" si="2"/>
        <v>530</v>
      </c>
      <c r="P20" s="258">
        <v>460</v>
      </c>
      <c r="Q20" s="258">
        <v>70</v>
      </c>
      <c r="R20" s="258">
        <f>SUM(S20:T20)</f>
        <v>3387</v>
      </c>
      <c r="S20" s="258">
        <v>3333</v>
      </c>
      <c r="T20" s="258">
        <v>54</v>
      </c>
      <c r="U20" s="256"/>
    </row>
    <row r="21" spans="2:21" ht="10.5" customHeight="1">
      <c r="B21" s="84"/>
      <c r="C21" s="84"/>
      <c r="D21" s="59"/>
      <c r="E21" s="484" t="s">
        <v>113</v>
      </c>
      <c r="F21" s="484"/>
      <c r="G21" s="484"/>
      <c r="H21" s="484"/>
      <c r="I21" s="484"/>
      <c r="J21" s="484"/>
      <c r="K21" s="484"/>
      <c r="L21" s="484"/>
      <c r="M21" s="484"/>
      <c r="N21" s="248"/>
      <c r="O21" s="258">
        <f t="shared" si="2"/>
        <v>339</v>
      </c>
      <c r="P21" s="258">
        <v>285</v>
      </c>
      <c r="Q21" s="258">
        <v>54</v>
      </c>
      <c r="R21" s="258">
        <f>SUM(S21:T21)</f>
        <v>4251</v>
      </c>
      <c r="S21" s="258">
        <v>4065</v>
      </c>
      <c r="T21" s="258">
        <v>186</v>
      </c>
      <c r="U21" s="256"/>
    </row>
    <row r="22" spans="2:21" ht="10.5" customHeight="1">
      <c r="B22" s="84"/>
      <c r="C22" s="84"/>
      <c r="D22" s="59"/>
      <c r="E22" s="484" t="s">
        <v>114</v>
      </c>
      <c r="F22" s="484"/>
      <c r="G22" s="484"/>
      <c r="H22" s="484"/>
      <c r="I22" s="484"/>
      <c r="J22" s="484"/>
      <c r="K22" s="484"/>
      <c r="L22" s="484"/>
      <c r="M22" s="484"/>
      <c r="N22" s="248"/>
      <c r="O22" s="258">
        <f t="shared" si="2"/>
        <v>335</v>
      </c>
      <c r="P22" s="258">
        <v>276</v>
      </c>
      <c r="Q22" s="258">
        <v>59</v>
      </c>
      <c r="R22" s="258">
        <f>SUM(S22:T22)</f>
        <v>2048</v>
      </c>
      <c r="S22" s="258">
        <v>1739</v>
      </c>
      <c r="T22" s="258">
        <v>309</v>
      </c>
      <c r="U22" s="256"/>
    </row>
    <row r="23" spans="2:21" ht="7.5" customHeight="1">
      <c r="B23" s="84"/>
      <c r="C23" s="59"/>
      <c r="D23" s="59"/>
      <c r="E23" s="59"/>
      <c r="F23" s="59"/>
      <c r="G23" s="59"/>
      <c r="H23" s="59"/>
      <c r="I23" s="59"/>
      <c r="J23" s="59"/>
      <c r="K23" s="59"/>
      <c r="L23" s="59"/>
      <c r="M23" s="59"/>
      <c r="N23" s="248"/>
      <c r="O23" s="254"/>
      <c r="R23" s="255"/>
      <c r="S23" s="255"/>
      <c r="T23" s="255"/>
      <c r="U23" s="256"/>
    </row>
    <row r="24" spans="2:21" ht="10.5" customHeight="1">
      <c r="B24" s="84"/>
      <c r="C24" s="84"/>
      <c r="D24" s="59"/>
      <c r="E24" s="484" t="s">
        <v>115</v>
      </c>
      <c r="F24" s="484"/>
      <c r="G24" s="484"/>
      <c r="H24" s="484"/>
      <c r="I24" s="484"/>
      <c r="J24" s="484"/>
      <c r="K24" s="484"/>
      <c r="L24" s="484"/>
      <c r="M24" s="484"/>
      <c r="N24" s="248"/>
      <c r="O24" s="258">
        <f t="shared" si="2"/>
        <v>519</v>
      </c>
      <c r="P24" s="258">
        <v>433</v>
      </c>
      <c r="Q24" s="258">
        <v>86</v>
      </c>
      <c r="R24" s="258">
        <f>SUM(S24:T24)</f>
        <v>1878</v>
      </c>
      <c r="S24" s="258">
        <v>1809</v>
      </c>
      <c r="T24" s="258">
        <v>69</v>
      </c>
      <c r="U24" s="256"/>
    </row>
    <row r="25" spans="2:21" ht="10.5" customHeight="1">
      <c r="B25" s="84"/>
      <c r="C25" s="84"/>
      <c r="D25" s="59"/>
      <c r="E25" s="484" t="s">
        <v>116</v>
      </c>
      <c r="F25" s="484"/>
      <c r="G25" s="484"/>
      <c r="H25" s="484"/>
      <c r="I25" s="484"/>
      <c r="J25" s="484"/>
      <c r="K25" s="484"/>
      <c r="L25" s="484"/>
      <c r="M25" s="484"/>
      <c r="N25" s="248"/>
      <c r="O25" s="258">
        <f t="shared" si="2"/>
        <v>1240</v>
      </c>
      <c r="P25" s="255">
        <v>1036</v>
      </c>
      <c r="Q25" s="255">
        <v>204</v>
      </c>
      <c r="R25" s="258">
        <f>SUM(S25:T25)</f>
        <v>3322</v>
      </c>
      <c r="S25" s="258">
        <v>2336</v>
      </c>
      <c r="T25" s="258">
        <v>986</v>
      </c>
      <c r="U25" s="256"/>
    </row>
    <row r="26" spans="2:21" ht="10.5" customHeight="1">
      <c r="B26" s="84"/>
      <c r="C26" s="84"/>
      <c r="D26" s="59"/>
      <c r="E26" s="484" t="s">
        <v>117</v>
      </c>
      <c r="F26" s="484"/>
      <c r="G26" s="484"/>
      <c r="H26" s="484"/>
      <c r="I26" s="484"/>
      <c r="J26" s="484"/>
      <c r="K26" s="484"/>
      <c r="L26" s="484"/>
      <c r="M26" s="484"/>
      <c r="N26" s="248"/>
      <c r="O26" s="258">
        <f t="shared" si="2"/>
        <v>363</v>
      </c>
      <c r="P26" s="258">
        <v>307</v>
      </c>
      <c r="Q26" s="258">
        <v>56</v>
      </c>
      <c r="R26" s="258">
        <f>SUM(S26:T26)</f>
        <v>10091</v>
      </c>
      <c r="S26" s="258">
        <v>8982</v>
      </c>
      <c r="T26" s="258">
        <v>1109</v>
      </c>
      <c r="U26" s="256"/>
    </row>
    <row r="27" spans="2:21" ht="10.5" customHeight="1">
      <c r="B27" s="84"/>
      <c r="C27" s="84"/>
      <c r="D27" s="59"/>
      <c r="E27" s="484" t="s">
        <v>118</v>
      </c>
      <c r="F27" s="484"/>
      <c r="G27" s="484"/>
      <c r="H27" s="484"/>
      <c r="I27" s="484"/>
      <c r="J27" s="484"/>
      <c r="K27" s="484"/>
      <c r="L27" s="484"/>
      <c r="M27" s="484"/>
      <c r="N27" s="248"/>
      <c r="O27" s="258">
        <f t="shared" si="2"/>
        <v>3335</v>
      </c>
      <c r="P27" s="258">
        <v>2904</v>
      </c>
      <c r="Q27" s="258">
        <v>431</v>
      </c>
      <c r="R27" s="258">
        <f>SUM(S27:T27)</f>
        <v>7709</v>
      </c>
      <c r="S27" s="258">
        <v>6140</v>
      </c>
      <c r="T27" s="258">
        <v>1569</v>
      </c>
      <c r="U27" s="256"/>
    </row>
    <row r="28" spans="2:21" ht="10.5" customHeight="1">
      <c r="B28" s="84"/>
      <c r="C28" s="84"/>
      <c r="D28" s="59"/>
      <c r="E28" s="484" t="s">
        <v>119</v>
      </c>
      <c r="F28" s="484"/>
      <c r="G28" s="484"/>
      <c r="H28" s="484"/>
      <c r="I28" s="484"/>
      <c r="J28" s="484"/>
      <c r="K28" s="484"/>
      <c r="L28" s="484"/>
      <c r="M28" s="484"/>
      <c r="N28" s="248"/>
      <c r="O28" s="258">
        <f t="shared" si="2"/>
        <v>3160</v>
      </c>
      <c r="P28" s="258">
        <v>2656</v>
      </c>
      <c r="Q28" s="258">
        <v>504</v>
      </c>
      <c r="R28" s="258">
        <f>SUM(S28:T28)</f>
        <v>7698</v>
      </c>
      <c r="S28" s="258">
        <v>6083</v>
      </c>
      <c r="T28" s="258">
        <v>1615</v>
      </c>
      <c r="U28" s="256"/>
    </row>
    <row r="29" spans="2:21" ht="7.5" customHeight="1">
      <c r="B29" s="84"/>
      <c r="C29" s="59"/>
      <c r="D29" s="59"/>
      <c r="E29" s="59"/>
      <c r="F29" s="59"/>
      <c r="G29" s="59"/>
      <c r="H29" s="59"/>
      <c r="I29" s="59"/>
      <c r="J29" s="59"/>
      <c r="K29" s="59"/>
      <c r="L29" s="59"/>
      <c r="M29" s="59"/>
      <c r="N29" s="248"/>
      <c r="O29" s="254"/>
      <c r="R29" s="255"/>
      <c r="S29" s="255"/>
      <c r="T29" s="255"/>
      <c r="U29" s="256"/>
    </row>
    <row r="30" spans="2:21" ht="10.5" customHeight="1">
      <c r="B30" s="84"/>
      <c r="C30" s="84"/>
      <c r="D30" s="59"/>
      <c r="E30" s="484" t="s">
        <v>120</v>
      </c>
      <c r="F30" s="484"/>
      <c r="G30" s="484"/>
      <c r="H30" s="484"/>
      <c r="I30" s="484"/>
      <c r="J30" s="484"/>
      <c r="K30" s="484"/>
      <c r="L30" s="484"/>
      <c r="M30" s="484"/>
      <c r="N30" s="248"/>
      <c r="O30" s="258">
        <f t="shared" si="2"/>
        <v>2235</v>
      </c>
      <c r="P30" s="258">
        <v>1943</v>
      </c>
      <c r="Q30" s="258">
        <v>292</v>
      </c>
      <c r="R30" s="258">
        <f>SUM(S30:T30)</f>
        <v>16245</v>
      </c>
      <c r="S30" s="258">
        <v>13581</v>
      </c>
      <c r="T30" s="258">
        <v>2664</v>
      </c>
      <c r="U30" s="256"/>
    </row>
    <row r="31" spans="2:21" ht="10.5" customHeight="1">
      <c r="B31" s="84"/>
      <c r="C31" s="84"/>
      <c r="D31" s="59"/>
      <c r="E31" s="484" t="s">
        <v>121</v>
      </c>
      <c r="F31" s="484"/>
      <c r="G31" s="484"/>
      <c r="H31" s="484"/>
      <c r="I31" s="484"/>
      <c r="J31" s="484"/>
      <c r="K31" s="484"/>
      <c r="L31" s="484"/>
      <c r="M31" s="484"/>
      <c r="N31" s="248"/>
      <c r="O31" s="258">
        <f t="shared" si="2"/>
        <v>1262</v>
      </c>
      <c r="P31" s="258">
        <v>1128</v>
      </c>
      <c r="Q31" s="258">
        <v>134</v>
      </c>
      <c r="R31" s="258">
        <f>SUM(S31:T31)</f>
        <v>2395</v>
      </c>
      <c r="S31" s="258">
        <v>2000</v>
      </c>
      <c r="T31" s="258">
        <v>395</v>
      </c>
      <c r="U31" s="256"/>
    </row>
    <row r="32" spans="2:21" ht="10.5" customHeight="1">
      <c r="B32" s="84"/>
      <c r="C32" s="84"/>
      <c r="D32" s="59"/>
      <c r="E32" s="484" t="s">
        <v>122</v>
      </c>
      <c r="F32" s="484"/>
      <c r="G32" s="484"/>
      <c r="H32" s="484"/>
      <c r="I32" s="484"/>
      <c r="J32" s="484"/>
      <c r="K32" s="484"/>
      <c r="L32" s="484"/>
      <c r="M32" s="484"/>
      <c r="N32" s="248"/>
      <c r="O32" s="258">
        <f t="shared" si="2"/>
        <v>382</v>
      </c>
      <c r="P32" s="255">
        <v>339</v>
      </c>
      <c r="Q32" s="255">
        <v>43</v>
      </c>
      <c r="R32" s="258">
        <f>SUM(S32:T32)</f>
        <v>797</v>
      </c>
      <c r="S32" s="258">
        <v>720</v>
      </c>
      <c r="T32" s="258">
        <v>77</v>
      </c>
      <c r="U32" s="256"/>
    </row>
    <row r="33" spans="2:21" ht="10.5" customHeight="1">
      <c r="B33" s="84"/>
      <c r="C33" s="84"/>
      <c r="D33" s="59"/>
      <c r="E33" s="484" t="s">
        <v>123</v>
      </c>
      <c r="F33" s="484"/>
      <c r="G33" s="484"/>
      <c r="H33" s="484"/>
      <c r="I33" s="484"/>
      <c r="J33" s="484"/>
      <c r="K33" s="484"/>
      <c r="L33" s="484"/>
      <c r="M33" s="484"/>
      <c r="N33" s="248"/>
      <c r="O33" s="258">
        <f t="shared" si="2"/>
        <v>6978</v>
      </c>
      <c r="P33" s="258">
        <v>6326</v>
      </c>
      <c r="Q33" s="258">
        <v>652</v>
      </c>
      <c r="R33" s="258">
        <f>SUM(S33:T33)</f>
        <v>10555</v>
      </c>
      <c r="S33" s="258">
        <v>9421</v>
      </c>
      <c r="T33" s="258">
        <v>1134</v>
      </c>
      <c r="U33" s="256"/>
    </row>
    <row r="34" spans="2:21" ht="10.5" customHeight="1">
      <c r="B34" s="84"/>
      <c r="C34" s="84"/>
      <c r="D34" s="59"/>
      <c r="E34" s="484" t="s">
        <v>124</v>
      </c>
      <c r="F34" s="484"/>
      <c r="G34" s="484"/>
      <c r="H34" s="484"/>
      <c r="I34" s="484"/>
      <c r="J34" s="484"/>
      <c r="K34" s="484"/>
      <c r="L34" s="484"/>
      <c r="M34" s="484"/>
      <c r="N34" s="248"/>
      <c r="O34" s="258">
        <f t="shared" si="2"/>
        <v>937</v>
      </c>
      <c r="P34" s="258">
        <v>844</v>
      </c>
      <c r="Q34" s="258">
        <v>93</v>
      </c>
      <c r="R34" s="258">
        <f>SUM(S34:T34)</f>
        <v>810</v>
      </c>
      <c r="S34" s="258">
        <v>798</v>
      </c>
      <c r="T34" s="258">
        <v>12</v>
      </c>
      <c r="U34" s="256"/>
    </row>
    <row r="35" spans="2:21" ht="7.5" customHeight="1">
      <c r="B35" s="84"/>
      <c r="C35" s="59"/>
      <c r="D35" s="59"/>
      <c r="E35" s="59"/>
      <c r="F35" s="59"/>
      <c r="G35" s="59"/>
      <c r="H35" s="59"/>
      <c r="I35" s="59"/>
      <c r="J35" s="59"/>
      <c r="K35" s="59"/>
      <c r="L35" s="59"/>
      <c r="M35" s="59"/>
      <c r="N35" s="248"/>
      <c r="O35" s="254"/>
      <c r="R35" s="255"/>
      <c r="S35" s="255"/>
      <c r="T35" s="255"/>
      <c r="U35" s="256"/>
    </row>
    <row r="36" spans="2:21" ht="10.5" customHeight="1">
      <c r="B36" s="84"/>
      <c r="C36" s="84"/>
      <c r="D36" s="59"/>
      <c r="E36" s="484" t="s">
        <v>125</v>
      </c>
      <c r="F36" s="484"/>
      <c r="G36" s="484"/>
      <c r="H36" s="484"/>
      <c r="I36" s="484"/>
      <c r="J36" s="484"/>
      <c r="K36" s="484"/>
      <c r="L36" s="484"/>
      <c r="M36" s="484"/>
      <c r="N36" s="248"/>
      <c r="O36" s="258">
        <f t="shared" si="2"/>
        <v>503</v>
      </c>
      <c r="P36" s="258">
        <v>446</v>
      </c>
      <c r="Q36" s="258">
        <v>57</v>
      </c>
      <c r="R36" s="258">
        <f>SUM(S36:T36)</f>
        <v>384</v>
      </c>
      <c r="S36" s="258">
        <v>357</v>
      </c>
      <c r="T36" s="258">
        <v>27</v>
      </c>
      <c r="U36" s="256"/>
    </row>
    <row r="37" spans="2:21" ht="10.5" customHeight="1">
      <c r="B37" s="84"/>
      <c r="C37" s="84"/>
      <c r="D37" s="59"/>
      <c r="E37" s="484" t="s">
        <v>126</v>
      </c>
      <c r="F37" s="484"/>
      <c r="G37" s="484"/>
      <c r="H37" s="484"/>
      <c r="I37" s="484"/>
      <c r="J37" s="484"/>
      <c r="K37" s="484"/>
      <c r="L37" s="484"/>
      <c r="M37" s="484"/>
      <c r="N37" s="248"/>
      <c r="O37" s="258">
        <f t="shared" si="2"/>
        <v>571</v>
      </c>
      <c r="P37" s="258">
        <v>496</v>
      </c>
      <c r="Q37" s="258">
        <v>75</v>
      </c>
      <c r="R37" s="258">
        <f>SUM(S37:T37)</f>
        <v>633</v>
      </c>
      <c r="S37" s="258">
        <v>578</v>
      </c>
      <c r="T37" s="258">
        <v>55</v>
      </c>
      <c r="U37" s="256"/>
    </row>
    <row r="38" spans="2:20" ht="7.5" customHeight="1">
      <c r="B38" s="84"/>
      <c r="C38" s="84"/>
      <c r="D38" s="84"/>
      <c r="E38" s="84"/>
      <c r="F38" s="84"/>
      <c r="G38" s="84"/>
      <c r="H38" s="84"/>
      <c r="I38" s="84"/>
      <c r="J38" s="84"/>
      <c r="K38" s="84"/>
      <c r="L38" s="84"/>
      <c r="M38" s="84"/>
      <c r="N38" s="248"/>
      <c r="O38" s="259"/>
      <c r="P38" s="254"/>
      <c r="Q38" s="254"/>
      <c r="R38" s="254"/>
      <c r="S38" s="254"/>
      <c r="T38" s="254"/>
    </row>
    <row r="39" spans="2:20" s="249" customFormat="1" ht="10.5" customHeight="1">
      <c r="B39" s="250"/>
      <c r="C39" s="481" t="s">
        <v>127</v>
      </c>
      <c r="D39" s="481"/>
      <c r="E39" s="481"/>
      <c r="F39" s="481"/>
      <c r="G39" s="481"/>
      <c r="H39" s="481"/>
      <c r="I39" s="481"/>
      <c r="J39" s="481"/>
      <c r="K39" s="481"/>
      <c r="L39" s="481"/>
      <c r="M39" s="481"/>
      <c r="N39" s="251"/>
      <c r="O39" s="252">
        <f>SUM(P39:Q39)</f>
        <v>18040</v>
      </c>
      <c r="P39" s="252">
        <v>15888</v>
      </c>
      <c r="Q39" s="252">
        <v>2152</v>
      </c>
      <c r="R39" s="252">
        <f>SUM(S39:T39)</f>
        <v>15967</v>
      </c>
      <c r="S39" s="252">
        <v>12074</v>
      </c>
      <c r="T39" s="252">
        <v>3893</v>
      </c>
    </row>
    <row r="40" spans="2:20" ht="7.5" customHeight="1">
      <c r="B40" s="84"/>
      <c r="C40" s="84"/>
      <c r="D40" s="84"/>
      <c r="E40" s="84"/>
      <c r="F40" s="84"/>
      <c r="G40" s="84"/>
      <c r="H40" s="84"/>
      <c r="I40" s="84"/>
      <c r="J40" s="84"/>
      <c r="K40" s="84"/>
      <c r="L40" s="84"/>
      <c r="M40" s="84"/>
      <c r="N40" s="248"/>
      <c r="O40" s="259"/>
      <c r="P40" s="254"/>
      <c r="Q40" s="254"/>
      <c r="R40" s="254"/>
      <c r="S40" s="254"/>
      <c r="T40" s="254"/>
    </row>
    <row r="41" spans="2:20" ht="10.5" customHeight="1">
      <c r="B41" s="84"/>
      <c r="C41" s="484" t="s">
        <v>128</v>
      </c>
      <c r="D41" s="484"/>
      <c r="E41" s="484"/>
      <c r="F41" s="484"/>
      <c r="G41" s="484"/>
      <c r="H41" s="484"/>
      <c r="I41" s="484"/>
      <c r="J41" s="84"/>
      <c r="K41" s="84"/>
      <c r="L41" s="84"/>
      <c r="M41" s="84"/>
      <c r="N41" s="248"/>
      <c r="O41" s="259"/>
      <c r="P41" s="254"/>
      <c r="Q41" s="254"/>
      <c r="R41" s="254"/>
      <c r="S41" s="254"/>
      <c r="T41" s="254"/>
    </row>
    <row r="42" spans="2:20" ht="10.5" customHeight="1">
      <c r="B42" s="84"/>
      <c r="C42" s="84"/>
      <c r="D42" s="59"/>
      <c r="E42" s="484" t="s">
        <v>129</v>
      </c>
      <c r="F42" s="484"/>
      <c r="G42" s="484"/>
      <c r="H42" s="484"/>
      <c r="I42" s="484"/>
      <c r="J42" s="484"/>
      <c r="K42" s="484"/>
      <c r="L42" s="484"/>
      <c r="M42" s="484"/>
      <c r="N42" s="248"/>
      <c r="O42" s="258">
        <f>SUM(P42:Q42)</f>
        <v>478</v>
      </c>
      <c r="P42" s="258">
        <v>404</v>
      </c>
      <c r="Q42" s="258">
        <v>74</v>
      </c>
      <c r="R42" s="258">
        <f>SUM(S42:T42)</f>
        <v>1204</v>
      </c>
      <c r="S42" s="258">
        <v>526</v>
      </c>
      <c r="T42" s="258">
        <v>678</v>
      </c>
    </row>
    <row r="43" spans="2:20" ht="10.5" customHeight="1">
      <c r="B43" s="84"/>
      <c r="C43" s="84"/>
      <c r="D43" s="59"/>
      <c r="E43" s="484" t="s">
        <v>524</v>
      </c>
      <c r="F43" s="484"/>
      <c r="G43" s="484"/>
      <c r="H43" s="484"/>
      <c r="I43" s="484"/>
      <c r="J43" s="484"/>
      <c r="K43" s="484"/>
      <c r="L43" s="484"/>
      <c r="M43" s="484"/>
      <c r="N43" s="248"/>
      <c r="O43" s="258">
        <f>SUM(P43:Q43)</f>
        <v>404</v>
      </c>
      <c r="P43" s="258">
        <v>360</v>
      </c>
      <c r="Q43" s="258">
        <v>44</v>
      </c>
      <c r="R43" s="258">
        <f>SUM(S43:T43)</f>
        <v>680</v>
      </c>
      <c r="S43" s="258">
        <v>638</v>
      </c>
      <c r="T43" s="258">
        <v>42</v>
      </c>
    </row>
    <row r="44" spans="2:20" ht="10.5" customHeight="1">
      <c r="B44" s="84"/>
      <c r="C44" s="84"/>
      <c r="D44" s="59"/>
      <c r="E44" s="484" t="s">
        <v>130</v>
      </c>
      <c r="F44" s="484"/>
      <c r="G44" s="484"/>
      <c r="H44" s="484"/>
      <c r="I44" s="484"/>
      <c r="J44" s="484"/>
      <c r="K44" s="484"/>
      <c r="L44" s="484"/>
      <c r="M44" s="484"/>
      <c r="N44" s="248"/>
      <c r="O44" s="258">
        <f>SUM(P44:Q44)</f>
        <v>728</v>
      </c>
      <c r="P44" s="258">
        <v>597</v>
      </c>
      <c r="Q44" s="258">
        <v>131</v>
      </c>
      <c r="R44" s="258">
        <f>SUM(S44:T44)</f>
        <v>3169</v>
      </c>
      <c r="S44" s="258">
        <v>2471</v>
      </c>
      <c r="T44" s="258">
        <v>698</v>
      </c>
    </row>
    <row r="45" spans="2:20" ht="10.5" customHeight="1">
      <c r="B45" s="84"/>
      <c r="C45" s="84"/>
      <c r="D45" s="59"/>
      <c r="E45" s="484" t="s">
        <v>131</v>
      </c>
      <c r="F45" s="484"/>
      <c r="G45" s="484"/>
      <c r="H45" s="484"/>
      <c r="I45" s="484"/>
      <c r="J45" s="484"/>
      <c r="K45" s="484"/>
      <c r="L45" s="484"/>
      <c r="M45" s="484"/>
      <c r="N45" s="248"/>
      <c r="O45" s="258">
        <f>SUM(P45:Q45)</f>
        <v>515</v>
      </c>
      <c r="P45" s="258">
        <v>456</v>
      </c>
      <c r="Q45" s="258">
        <v>59</v>
      </c>
      <c r="R45" s="258">
        <f>SUM(S45:T45)</f>
        <v>1063</v>
      </c>
      <c r="S45" s="258">
        <v>910</v>
      </c>
      <c r="T45" s="258">
        <v>153</v>
      </c>
    </row>
    <row r="46" spans="2:20" ht="10.5" customHeight="1">
      <c r="B46" s="84"/>
      <c r="C46" s="84"/>
      <c r="D46" s="59"/>
      <c r="E46" s="484" t="s">
        <v>548</v>
      </c>
      <c r="F46" s="484"/>
      <c r="G46" s="484"/>
      <c r="H46" s="484"/>
      <c r="I46" s="484"/>
      <c r="J46" s="484"/>
      <c r="K46" s="484"/>
      <c r="L46" s="484"/>
      <c r="M46" s="484"/>
      <c r="N46" s="248"/>
      <c r="O46" s="258">
        <f>SUM(P46:Q46)</f>
        <v>414</v>
      </c>
      <c r="P46" s="258">
        <v>369</v>
      </c>
      <c r="Q46" s="258">
        <v>45</v>
      </c>
      <c r="R46" s="258">
        <f>SUM(S46:T46)</f>
        <v>623</v>
      </c>
      <c r="S46" s="258">
        <v>567</v>
      </c>
      <c r="T46" s="258">
        <v>56</v>
      </c>
    </row>
    <row r="47" spans="2:20" ht="7.5" customHeight="1">
      <c r="B47" s="84"/>
      <c r="C47" s="84"/>
      <c r="D47" s="84"/>
      <c r="E47" s="84"/>
      <c r="F47" s="84"/>
      <c r="G47" s="84"/>
      <c r="H47" s="84"/>
      <c r="I47" s="84"/>
      <c r="J47" s="84"/>
      <c r="K47" s="84"/>
      <c r="L47" s="84"/>
      <c r="M47" s="84"/>
      <c r="N47" s="248"/>
      <c r="O47" s="259"/>
      <c r="P47" s="254"/>
      <c r="Q47" s="254"/>
      <c r="R47" s="254"/>
      <c r="S47" s="254"/>
      <c r="T47" s="254"/>
    </row>
    <row r="48" spans="2:20" ht="10.5" customHeight="1">
      <c r="B48" s="84"/>
      <c r="C48" s="84"/>
      <c r="D48" s="84"/>
      <c r="E48" s="484" t="s">
        <v>132</v>
      </c>
      <c r="F48" s="484"/>
      <c r="G48" s="484"/>
      <c r="H48" s="484"/>
      <c r="I48" s="484"/>
      <c r="J48" s="484"/>
      <c r="K48" s="484"/>
      <c r="L48" s="484"/>
      <c r="M48" s="484"/>
      <c r="N48" s="248"/>
      <c r="O48" s="258">
        <f>SUM(P48:Q48)</f>
        <v>1204</v>
      </c>
      <c r="P48" s="258">
        <v>1066</v>
      </c>
      <c r="Q48" s="258">
        <v>138</v>
      </c>
      <c r="R48" s="258">
        <f>SUM(S48:T48)</f>
        <v>904</v>
      </c>
      <c r="S48" s="258">
        <v>541</v>
      </c>
      <c r="T48" s="258">
        <v>363</v>
      </c>
    </row>
    <row r="49" spans="2:20" ht="10.5" customHeight="1">
      <c r="B49" s="84"/>
      <c r="C49" s="84"/>
      <c r="D49" s="84"/>
      <c r="E49" s="484" t="s">
        <v>133</v>
      </c>
      <c r="F49" s="484"/>
      <c r="G49" s="484"/>
      <c r="H49" s="484"/>
      <c r="I49" s="484"/>
      <c r="J49" s="484"/>
      <c r="K49" s="484"/>
      <c r="L49" s="484"/>
      <c r="M49" s="484"/>
      <c r="N49" s="248"/>
      <c r="O49" s="258">
        <f>SUM(P49:Q49)</f>
        <v>1640</v>
      </c>
      <c r="P49" s="258">
        <v>1440</v>
      </c>
      <c r="Q49" s="258">
        <v>200</v>
      </c>
      <c r="R49" s="258">
        <f>SUM(S49:T49)</f>
        <v>596</v>
      </c>
      <c r="S49" s="258">
        <v>487</v>
      </c>
      <c r="T49" s="258">
        <v>109</v>
      </c>
    </row>
    <row r="50" spans="2:20" ht="10.5" customHeight="1">
      <c r="B50" s="84"/>
      <c r="C50" s="84"/>
      <c r="D50" s="59"/>
      <c r="E50" s="484" t="s">
        <v>134</v>
      </c>
      <c r="F50" s="484"/>
      <c r="G50" s="484"/>
      <c r="H50" s="484"/>
      <c r="I50" s="484"/>
      <c r="J50" s="484"/>
      <c r="K50" s="484"/>
      <c r="L50" s="484"/>
      <c r="M50" s="484"/>
      <c r="N50" s="248"/>
      <c r="O50" s="258">
        <f>SUM(P50:Q50)</f>
        <v>1897</v>
      </c>
      <c r="P50" s="258">
        <v>1693</v>
      </c>
      <c r="Q50" s="258">
        <v>204</v>
      </c>
      <c r="R50" s="258">
        <v>717</v>
      </c>
      <c r="S50" s="258">
        <v>561</v>
      </c>
      <c r="T50" s="258">
        <v>156</v>
      </c>
    </row>
    <row r="51" spans="2:20" ht="10.5" customHeight="1">
      <c r="B51" s="84"/>
      <c r="C51" s="59"/>
      <c r="D51" s="59"/>
      <c r="E51" s="484" t="s">
        <v>135</v>
      </c>
      <c r="F51" s="484"/>
      <c r="G51" s="484"/>
      <c r="H51" s="484"/>
      <c r="I51" s="484"/>
      <c r="J51" s="484"/>
      <c r="K51" s="484"/>
      <c r="L51" s="484"/>
      <c r="M51" s="484"/>
      <c r="N51" s="248"/>
      <c r="O51" s="258">
        <f>SUM(P51:Q51)</f>
        <v>2661</v>
      </c>
      <c r="P51" s="258">
        <v>2367</v>
      </c>
      <c r="Q51" s="258">
        <v>294</v>
      </c>
      <c r="R51" s="258">
        <f>SUM(S51:T51)</f>
        <v>750</v>
      </c>
      <c r="S51" s="258">
        <v>666</v>
      </c>
      <c r="T51" s="258">
        <v>84</v>
      </c>
    </row>
    <row r="52" spans="2:20" ht="10.5" customHeight="1">
      <c r="B52" s="84"/>
      <c r="C52" s="59"/>
      <c r="D52" s="59"/>
      <c r="E52" s="484" t="s">
        <v>525</v>
      </c>
      <c r="F52" s="484"/>
      <c r="G52" s="484"/>
      <c r="H52" s="484"/>
      <c r="I52" s="484"/>
      <c r="J52" s="484"/>
      <c r="K52" s="484"/>
      <c r="L52" s="484"/>
      <c r="M52" s="484"/>
      <c r="N52" s="248"/>
      <c r="O52" s="258">
        <f>SUM(P52:Q52)</f>
        <v>4827</v>
      </c>
      <c r="P52" s="258">
        <v>4334</v>
      </c>
      <c r="Q52" s="258">
        <v>493</v>
      </c>
      <c r="R52" s="258">
        <f>SUM(S52:T52)</f>
        <v>2648</v>
      </c>
      <c r="S52" s="258">
        <v>2265</v>
      </c>
      <c r="T52" s="258">
        <v>383</v>
      </c>
    </row>
    <row r="53" spans="2:20" ht="7.5" customHeight="1">
      <c r="B53" s="84"/>
      <c r="C53" s="84"/>
      <c r="D53" s="84"/>
      <c r="E53" s="84"/>
      <c r="F53" s="84"/>
      <c r="G53" s="84"/>
      <c r="H53" s="84"/>
      <c r="I53" s="84"/>
      <c r="J53" s="84"/>
      <c r="K53" s="84"/>
      <c r="L53" s="84"/>
      <c r="M53" s="84"/>
      <c r="N53" s="248"/>
      <c r="O53" s="259"/>
      <c r="P53" s="254"/>
      <c r="Q53" s="254"/>
      <c r="R53" s="254"/>
      <c r="S53" s="254"/>
      <c r="T53" s="254"/>
    </row>
    <row r="54" spans="2:20" s="249" customFormat="1" ht="10.5" customHeight="1">
      <c r="B54" s="250"/>
      <c r="C54" s="481" t="s">
        <v>136</v>
      </c>
      <c r="D54" s="481"/>
      <c r="E54" s="481"/>
      <c r="F54" s="481"/>
      <c r="G54" s="481"/>
      <c r="H54" s="481"/>
      <c r="I54" s="481"/>
      <c r="J54" s="481"/>
      <c r="K54" s="481"/>
      <c r="L54" s="481"/>
      <c r="M54" s="481"/>
      <c r="N54" s="251"/>
      <c r="O54" s="252">
        <f>SUM(P54:Q54)</f>
        <v>37887</v>
      </c>
      <c r="P54" s="252">
        <v>33569</v>
      </c>
      <c r="Q54" s="252">
        <v>4318</v>
      </c>
      <c r="R54" s="252">
        <f>SUM(S54:T54)</f>
        <v>20868</v>
      </c>
      <c r="S54" s="252">
        <v>17781</v>
      </c>
      <c r="T54" s="252">
        <v>3087</v>
      </c>
    </row>
    <row r="55" spans="2:20" ht="7.5" customHeight="1">
      <c r="B55" s="84"/>
      <c r="C55" s="59"/>
      <c r="D55" s="59"/>
      <c r="E55" s="59"/>
      <c r="F55" s="59"/>
      <c r="G55" s="59"/>
      <c r="H55" s="59"/>
      <c r="I55" s="59"/>
      <c r="J55" s="59"/>
      <c r="K55" s="59"/>
      <c r="L55" s="59"/>
      <c r="M55" s="59"/>
      <c r="N55" s="248"/>
      <c r="O55" s="259"/>
      <c r="P55" s="254"/>
      <c r="Q55" s="254"/>
      <c r="R55" s="254"/>
      <c r="S55" s="254"/>
      <c r="T55" s="254"/>
    </row>
    <row r="56" spans="2:20" s="249" customFormat="1" ht="10.5" customHeight="1">
      <c r="B56" s="250"/>
      <c r="C56" s="481" t="s">
        <v>137</v>
      </c>
      <c r="D56" s="481"/>
      <c r="E56" s="481"/>
      <c r="F56" s="481"/>
      <c r="G56" s="481"/>
      <c r="H56" s="481"/>
      <c r="I56" s="481"/>
      <c r="J56" s="481"/>
      <c r="K56" s="481"/>
      <c r="L56" s="481"/>
      <c r="M56" s="481"/>
      <c r="N56" s="251"/>
      <c r="O56" s="252">
        <f>SUM(P56:Q56)</f>
        <v>30829</v>
      </c>
      <c r="P56" s="252">
        <v>28243</v>
      </c>
      <c r="Q56" s="252">
        <v>2586</v>
      </c>
      <c r="R56" s="252">
        <f>SUM(S56:T56)</f>
        <v>13588</v>
      </c>
      <c r="S56" s="252">
        <v>11862</v>
      </c>
      <c r="T56" s="252">
        <v>1726</v>
      </c>
    </row>
    <row r="57" spans="2:20" s="249" customFormat="1" ht="7.5" customHeight="1">
      <c r="B57" s="250"/>
      <c r="C57" s="58"/>
      <c r="D57" s="58"/>
      <c r="E57" s="58"/>
      <c r="F57" s="58"/>
      <c r="G57" s="58"/>
      <c r="H57" s="58"/>
      <c r="I57" s="58"/>
      <c r="J57" s="58"/>
      <c r="K57" s="58"/>
      <c r="L57" s="58"/>
      <c r="M57" s="58"/>
      <c r="N57" s="251"/>
      <c r="O57" s="252"/>
      <c r="P57" s="252"/>
      <c r="Q57" s="252"/>
      <c r="R57" s="252"/>
      <c r="S57" s="252"/>
      <c r="T57" s="252"/>
    </row>
    <row r="58" spans="2:20" ht="10.5" customHeight="1">
      <c r="B58" s="84"/>
      <c r="C58" s="484" t="s">
        <v>128</v>
      </c>
      <c r="D58" s="484"/>
      <c r="E58" s="484"/>
      <c r="F58" s="484"/>
      <c r="G58" s="484"/>
      <c r="H58" s="484"/>
      <c r="I58" s="484"/>
      <c r="J58" s="84"/>
      <c r="K58" s="84"/>
      <c r="L58" s="84"/>
      <c r="M58" s="84"/>
      <c r="N58" s="248"/>
      <c r="O58" s="259"/>
      <c r="P58" s="254"/>
      <c r="Q58" s="254"/>
      <c r="R58" s="254"/>
      <c r="S58" s="254"/>
      <c r="T58" s="254"/>
    </row>
    <row r="59" spans="2:20" ht="10.5" customHeight="1">
      <c r="B59" s="84"/>
      <c r="C59" s="84"/>
      <c r="D59" s="84"/>
      <c r="E59" s="484" t="s">
        <v>526</v>
      </c>
      <c r="F59" s="484"/>
      <c r="G59" s="484"/>
      <c r="H59" s="484"/>
      <c r="I59" s="484"/>
      <c r="J59" s="484"/>
      <c r="K59" s="484"/>
      <c r="L59" s="484"/>
      <c r="M59" s="484"/>
      <c r="N59" s="248"/>
      <c r="O59" s="258">
        <f>SUM(P59:Q59)</f>
        <v>2436</v>
      </c>
      <c r="P59" s="258">
        <v>2045</v>
      </c>
      <c r="Q59" s="258">
        <v>391</v>
      </c>
      <c r="R59" s="258">
        <f>SUM(S59:T59)</f>
        <v>1708</v>
      </c>
      <c r="S59" s="258">
        <v>1578</v>
      </c>
      <c r="T59" s="258">
        <v>130</v>
      </c>
    </row>
    <row r="60" spans="2:20" ht="10.5" customHeight="1">
      <c r="B60" s="84"/>
      <c r="C60" s="84"/>
      <c r="D60" s="84"/>
      <c r="E60" s="484" t="s">
        <v>138</v>
      </c>
      <c r="F60" s="484"/>
      <c r="G60" s="484"/>
      <c r="H60" s="484"/>
      <c r="I60" s="484"/>
      <c r="J60" s="484"/>
      <c r="K60" s="484"/>
      <c r="L60" s="484"/>
      <c r="M60" s="484"/>
      <c r="N60" s="248"/>
      <c r="O60" s="258">
        <f>SUM(P60:Q60)</f>
        <v>1718</v>
      </c>
      <c r="P60" s="258">
        <v>1562</v>
      </c>
      <c r="Q60" s="258">
        <v>156</v>
      </c>
      <c r="R60" s="258">
        <f>SUM(S60:T60)</f>
        <v>841</v>
      </c>
      <c r="S60" s="258">
        <v>629</v>
      </c>
      <c r="T60" s="258">
        <v>212</v>
      </c>
    </row>
    <row r="61" spans="2:20" ht="10.5" customHeight="1">
      <c r="B61" s="84"/>
      <c r="C61" s="84"/>
      <c r="D61" s="84"/>
      <c r="E61" s="484" t="s">
        <v>527</v>
      </c>
      <c r="F61" s="484"/>
      <c r="G61" s="484"/>
      <c r="H61" s="484"/>
      <c r="I61" s="484"/>
      <c r="J61" s="484"/>
      <c r="K61" s="484"/>
      <c r="L61" s="484"/>
      <c r="M61" s="484"/>
      <c r="N61" s="248"/>
      <c r="O61" s="258">
        <f>SUM(P61:Q61)</f>
        <v>1086</v>
      </c>
      <c r="P61" s="258">
        <v>988</v>
      </c>
      <c r="Q61" s="258">
        <v>98</v>
      </c>
      <c r="R61" s="258">
        <f>SUM(S61:T61)</f>
        <v>584</v>
      </c>
      <c r="S61" s="258">
        <v>566</v>
      </c>
      <c r="T61" s="258">
        <v>18</v>
      </c>
    </row>
    <row r="62" spans="2:20" ht="10.5" customHeight="1">
      <c r="B62" s="84"/>
      <c r="C62" s="84"/>
      <c r="D62" s="84"/>
      <c r="E62" s="484" t="s">
        <v>139</v>
      </c>
      <c r="F62" s="484"/>
      <c r="G62" s="484"/>
      <c r="H62" s="484"/>
      <c r="I62" s="484"/>
      <c r="J62" s="484"/>
      <c r="K62" s="484"/>
      <c r="L62" s="484"/>
      <c r="M62" s="484"/>
      <c r="N62" s="248"/>
      <c r="O62" s="258">
        <f>SUM(P62:Q62)</f>
        <v>4496</v>
      </c>
      <c r="P62" s="258">
        <v>4165</v>
      </c>
      <c r="Q62" s="258">
        <v>331</v>
      </c>
      <c r="R62" s="258">
        <f>SUM(S62:T62)</f>
        <v>1465</v>
      </c>
      <c r="S62" s="258">
        <v>1283</v>
      </c>
      <c r="T62" s="258">
        <v>182</v>
      </c>
    </row>
    <row r="63" spans="2:20" ht="10.5" customHeight="1">
      <c r="B63" s="84"/>
      <c r="C63" s="84"/>
      <c r="D63" s="84"/>
      <c r="E63" s="484" t="s">
        <v>140</v>
      </c>
      <c r="F63" s="484"/>
      <c r="G63" s="484"/>
      <c r="H63" s="484"/>
      <c r="I63" s="484"/>
      <c r="J63" s="484"/>
      <c r="K63" s="484"/>
      <c r="L63" s="484"/>
      <c r="M63" s="484"/>
      <c r="N63" s="248"/>
      <c r="O63" s="258">
        <f>SUM(P63:Q63)</f>
        <v>1276</v>
      </c>
      <c r="P63" s="258">
        <v>1179</v>
      </c>
      <c r="Q63" s="258">
        <v>97</v>
      </c>
      <c r="R63" s="258">
        <f>SUM(S63:T63)</f>
        <v>477</v>
      </c>
      <c r="S63" s="258">
        <v>323</v>
      </c>
      <c r="T63" s="258">
        <v>154</v>
      </c>
    </row>
    <row r="64" spans="2:20" ht="7.5" customHeight="1">
      <c r="B64" s="84"/>
      <c r="C64" s="59"/>
      <c r="D64" s="59"/>
      <c r="E64" s="84"/>
      <c r="F64" s="84"/>
      <c r="G64" s="84"/>
      <c r="H64" s="84"/>
      <c r="I64" s="84"/>
      <c r="J64" s="84"/>
      <c r="K64" s="84"/>
      <c r="L64" s="84"/>
      <c r="M64" s="84"/>
      <c r="N64" s="248"/>
      <c r="O64" s="259"/>
      <c r="P64" s="254"/>
      <c r="Q64" s="254"/>
      <c r="R64" s="254"/>
      <c r="S64" s="254"/>
      <c r="T64" s="254"/>
    </row>
    <row r="65" spans="2:20" ht="10.5" customHeight="1">
      <c r="B65" s="84"/>
      <c r="C65" s="84"/>
      <c r="D65" s="59"/>
      <c r="E65" s="484" t="s">
        <v>528</v>
      </c>
      <c r="F65" s="484"/>
      <c r="G65" s="484"/>
      <c r="H65" s="484"/>
      <c r="I65" s="484"/>
      <c r="J65" s="484"/>
      <c r="K65" s="484"/>
      <c r="L65" s="484"/>
      <c r="M65" s="484"/>
      <c r="N65" s="248"/>
      <c r="O65" s="258">
        <f>SUM(P65:Q65)</f>
        <v>450</v>
      </c>
      <c r="P65" s="258">
        <v>416</v>
      </c>
      <c r="Q65" s="258">
        <v>34</v>
      </c>
      <c r="R65" s="258">
        <f>SUM(S65:T65)</f>
        <v>697</v>
      </c>
      <c r="S65" s="258">
        <v>692</v>
      </c>
      <c r="T65" s="258">
        <v>5</v>
      </c>
    </row>
    <row r="66" spans="2:20" ht="10.5" customHeight="1">
      <c r="B66" s="84"/>
      <c r="C66" s="84"/>
      <c r="D66" s="59"/>
      <c r="E66" s="484" t="s">
        <v>529</v>
      </c>
      <c r="F66" s="484"/>
      <c r="G66" s="484"/>
      <c r="H66" s="484"/>
      <c r="I66" s="484"/>
      <c r="J66" s="484"/>
      <c r="K66" s="484"/>
      <c r="L66" s="484"/>
      <c r="M66" s="484"/>
      <c r="N66" s="248"/>
      <c r="O66" s="258">
        <f>SUM(P66:Q66)</f>
        <v>1547</v>
      </c>
      <c r="P66" s="258">
        <v>1381</v>
      </c>
      <c r="Q66" s="258">
        <v>166</v>
      </c>
      <c r="R66" s="258">
        <f>SUM(S66:T66)</f>
        <v>454</v>
      </c>
      <c r="S66" s="258">
        <v>345</v>
      </c>
      <c r="T66" s="258">
        <v>109</v>
      </c>
    </row>
    <row r="67" spans="2:20" ht="10.5" customHeight="1">
      <c r="B67" s="84"/>
      <c r="C67" s="84"/>
      <c r="D67" s="59"/>
      <c r="E67" s="484" t="s">
        <v>530</v>
      </c>
      <c r="F67" s="484"/>
      <c r="G67" s="484"/>
      <c r="H67" s="484"/>
      <c r="I67" s="484"/>
      <c r="J67" s="484"/>
      <c r="K67" s="484"/>
      <c r="L67" s="484"/>
      <c r="M67" s="484"/>
      <c r="N67" s="248"/>
      <c r="O67" s="258">
        <f>SUM(P67:Q67)</f>
        <v>1981</v>
      </c>
      <c r="P67" s="258">
        <v>1861</v>
      </c>
      <c r="Q67" s="258">
        <v>120</v>
      </c>
      <c r="R67" s="258">
        <f>SUM(S67:T67)</f>
        <v>1002</v>
      </c>
      <c r="S67" s="258">
        <v>994</v>
      </c>
      <c r="T67" s="258">
        <v>8</v>
      </c>
    </row>
    <row r="68" spans="2:20" ht="10.5" customHeight="1">
      <c r="B68" s="84"/>
      <c r="C68" s="84"/>
      <c r="D68" s="59"/>
      <c r="E68" s="484" t="s">
        <v>531</v>
      </c>
      <c r="F68" s="484"/>
      <c r="G68" s="484"/>
      <c r="H68" s="484"/>
      <c r="I68" s="484"/>
      <c r="J68" s="484"/>
      <c r="K68" s="484"/>
      <c r="L68" s="484"/>
      <c r="M68" s="484"/>
      <c r="N68" s="248"/>
      <c r="O68" s="258">
        <f>SUM(P68:Q68)</f>
        <v>693</v>
      </c>
      <c r="P68" s="258">
        <v>627</v>
      </c>
      <c r="Q68" s="258">
        <v>66</v>
      </c>
      <c r="R68" s="258">
        <f>SUM(S68:T68)</f>
        <v>322</v>
      </c>
      <c r="S68" s="258">
        <v>263</v>
      </c>
      <c r="T68" s="258">
        <v>59</v>
      </c>
    </row>
    <row r="69" spans="2:20" ht="10.5" customHeight="1">
      <c r="B69" s="84"/>
      <c r="C69" s="84"/>
      <c r="D69" s="59"/>
      <c r="E69" s="484" t="s">
        <v>141</v>
      </c>
      <c r="F69" s="484"/>
      <c r="G69" s="484"/>
      <c r="H69" s="484"/>
      <c r="I69" s="484"/>
      <c r="J69" s="484"/>
      <c r="K69" s="484"/>
      <c r="L69" s="484"/>
      <c r="M69" s="484"/>
      <c r="N69" s="248"/>
      <c r="O69" s="258">
        <f>SUM(P69:Q69)</f>
        <v>2361</v>
      </c>
      <c r="P69" s="258">
        <v>2292</v>
      </c>
      <c r="Q69" s="258">
        <v>69</v>
      </c>
      <c r="R69" s="258">
        <f>SUM(S69:T69)</f>
        <v>1707</v>
      </c>
      <c r="S69" s="258">
        <v>1691</v>
      </c>
      <c r="T69" s="258">
        <v>16</v>
      </c>
    </row>
    <row r="70" spans="2:20" ht="7.5" customHeight="1">
      <c r="B70" s="84"/>
      <c r="C70" s="59"/>
      <c r="D70" s="59"/>
      <c r="E70" s="84"/>
      <c r="F70" s="84"/>
      <c r="G70" s="84"/>
      <c r="H70" s="84"/>
      <c r="I70" s="84"/>
      <c r="J70" s="84"/>
      <c r="K70" s="84"/>
      <c r="L70" s="84"/>
      <c r="M70" s="84"/>
      <c r="N70" s="248"/>
      <c r="O70" s="259"/>
      <c r="P70" s="254"/>
      <c r="Q70" s="254"/>
      <c r="R70" s="254"/>
      <c r="S70" s="254"/>
      <c r="T70" s="254"/>
    </row>
    <row r="71" spans="2:20" ht="10.5" customHeight="1">
      <c r="B71" s="84"/>
      <c r="C71" s="84"/>
      <c r="D71" s="59"/>
      <c r="E71" s="484" t="s">
        <v>532</v>
      </c>
      <c r="F71" s="484"/>
      <c r="G71" s="484"/>
      <c r="H71" s="484"/>
      <c r="I71" s="484"/>
      <c r="J71" s="484"/>
      <c r="K71" s="484"/>
      <c r="L71" s="484"/>
      <c r="M71" s="484"/>
      <c r="N71" s="248"/>
      <c r="O71" s="258">
        <f>SUM(P71:Q71)</f>
        <v>5052</v>
      </c>
      <c r="P71" s="258">
        <v>4908</v>
      </c>
      <c r="Q71" s="258">
        <v>144</v>
      </c>
      <c r="R71" s="258">
        <f>SUM(S71:T71)</f>
        <v>1774</v>
      </c>
      <c r="S71" s="258">
        <v>1551</v>
      </c>
      <c r="T71" s="258">
        <v>223</v>
      </c>
    </row>
    <row r="72" spans="2:20" ht="10.5" customHeight="1">
      <c r="B72" s="84"/>
      <c r="C72" s="84"/>
      <c r="D72" s="59"/>
      <c r="E72" s="484" t="s">
        <v>142</v>
      </c>
      <c r="F72" s="484"/>
      <c r="G72" s="484"/>
      <c r="H72" s="484"/>
      <c r="I72" s="484"/>
      <c r="J72" s="484"/>
      <c r="K72" s="484"/>
      <c r="L72" s="484"/>
      <c r="M72" s="484"/>
      <c r="N72" s="248"/>
      <c r="O72" s="258">
        <f>SUM(P72:Q72)</f>
        <v>902</v>
      </c>
      <c r="P72" s="258">
        <v>862</v>
      </c>
      <c r="Q72" s="258">
        <v>40</v>
      </c>
      <c r="R72" s="258">
        <f>SUM(S72:T72)</f>
        <v>158</v>
      </c>
      <c r="S72" s="258">
        <v>152</v>
      </c>
      <c r="T72" s="258">
        <v>6</v>
      </c>
    </row>
    <row r="73" spans="2:20" ht="7.5" customHeight="1">
      <c r="B73" s="84"/>
      <c r="C73" s="84"/>
      <c r="D73" s="84"/>
      <c r="E73" s="84"/>
      <c r="F73" s="84"/>
      <c r="G73" s="84"/>
      <c r="H73" s="84"/>
      <c r="I73" s="84"/>
      <c r="J73" s="84"/>
      <c r="K73" s="84"/>
      <c r="L73" s="84"/>
      <c r="M73" s="84"/>
      <c r="N73" s="248"/>
      <c r="O73" s="259"/>
      <c r="P73" s="254"/>
      <c r="Q73" s="254"/>
      <c r="R73" s="254"/>
      <c r="S73" s="254"/>
      <c r="T73" s="254"/>
    </row>
    <row r="74" spans="2:20" s="249" customFormat="1" ht="10.5" customHeight="1">
      <c r="B74" s="250"/>
      <c r="C74" s="481" t="s">
        <v>143</v>
      </c>
      <c r="D74" s="481"/>
      <c r="E74" s="481"/>
      <c r="F74" s="481"/>
      <c r="G74" s="481"/>
      <c r="H74" s="481"/>
      <c r="I74" s="481"/>
      <c r="J74" s="481"/>
      <c r="K74" s="481"/>
      <c r="L74" s="481"/>
      <c r="M74" s="481"/>
      <c r="N74" s="251"/>
      <c r="O74" s="252">
        <f>SUM(P74:Q74)</f>
        <v>2761</v>
      </c>
      <c r="P74" s="252">
        <v>2099</v>
      </c>
      <c r="Q74" s="252">
        <v>662</v>
      </c>
      <c r="R74" s="252">
        <f>SUM(S74:T74)</f>
        <v>2015</v>
      </c>
      <c r="S74" s="252">
        <v>1615</v>
      </c>
      <c r="T74" s="252">
        <v>400</v>
      </c>
    </row>
    <row r="75" spans="2:20" ht="7.5" customHeight="1">
      <c r="B75" s="84"/>
      <c r="C75" s="84"/>
      <c r="D75" s="84"/>
      <c r="E75" s="84"/>
      <c r="F75" s="84"/>
      <c r="G75" s="84"/>
      <c r="H75" s="84"/>
      <c r="I75" s="84"/>
      <c r="J75" s="84"/>
      <c r="K75" s="84"/>
      <c r="L75" s="84"/>
      <c r="M75" s="84"/>
      <c r="N75" s="248"/>
      <c r="O75" s="259"/>
      <c r="P75" s="254"/>
      <c r="Q75" s="254"/>
      <c r="R75" s="254"/>
      <c r="S75" s="254"/>
      <c r="T75" s="254"/>
    </row>
    <row r="76" spans="2:20" s="249" customFormat="1" ht="10.5" customHeight="1">
      <c r="B76" s="250"/>
      <c r="C76" s="481" t="s">
        <v>144</v>
      </c>
      <c r="D76" s="481"/>
      <c r="E76" s="481"/>
      <c r="F76" s="481"/>
      <c r="G76" s="481"/>
      <c r="H76" s="481"/>
      <c r="I76" s="481"/>
      <c r="J76" s="481"/>
      <c r="K76" s="481"/>
      <c r="L76" s="481"/>
      <c r="M76" s="481"/>
      <c r="N76" s="251"/>
      <c r="O76" s="252">
        <f>SUM(P76:Q76)</f>
        <v>2846</v>
      </c>
      <c r="P76" s="252">
        <v>2203</v>
      </c>
      <c r="Q76" s="252">
        <v>643</v>
      </c>
      <c r="R76" s="252">
        <f>SUM(S76:T76)</f>
        <v>3611</v>
      </c>
      <c r="S76" s="252">
        <v>2772</v>
      </c>
      <c r="T76" s="252">
        <v>839</v>
      </c>
    </row>
    <row r="77" spans="2:20" s="249" customFormat="1" ht="7.5" customHeight="1">
      <c r="B77" s="250"/>
      <c r="C77" s="58"/>
      <c r="D77" s="58"/>
      <c r="E77" s="58"/>
      <c r="F77" s="58"/>
      <c r="G77" s="58"/>
      <c r="H77" s="58"/>
      <c r="I77" s="58"/>
      <c r="J77" s="58"/>
      <c r="K77" s="58"/>
      <c r="L77" s="58"/>
      <c r="M77" s="58"/>
      <c r="N77" s="251"/>
      <c r="O77" s="252"/>
      <c r="P77" s="252"/>
      <c r="Q77" s="252"/>
      <c r="R77" s="252"/>
      <c r="S77" s="252"/>
      <c r="T77" s="252"/>
    </row>
    <row r="78" spans="2:20" ht="10.5" customHeight="1">
      <c r="B78" s="84"/>
      <c r="C78" s="484" t="s">
        <v>128</v>
      </c>
      <c r="D78" s="484"/>
      <c r="E78" s="484"/>
      <c r="F78" s="484"/>
      <c r="G78" s="484"/>
      <c r="H78" s="484"/>
      <c r="I78" s="484"/>
      <c r="J78" s="84"/>
      <c r="K78" s="84"/>
      <c r="L78" s="84"/>
      <c r="M78" s="84"/>
      <c r="N78" s="260"/>
      <c r="O78" s="259"/>
      <c r="P78" s="254"/>
      <c r="Q78" s="254"/>
      <c r="R78" s="254"/>
      <c r="S78" s="254"/>
      <c r="T78" s="254"/>
    </row>
    <row r="79" spans="2:20" ht="10.5" customHeight="1">
      <c r="B79" s="84"/>
      <c r="C79" s="84"/>
      <c r="D79" s="59"/>
      <c r="E79" s="484" t="s">
        <v>145</v>
      </c>
      <c r="F79" s="484"/>
      <c r="G79" s="484"/>
      <c r="H79" s="484"/>
      <c r="I79" s="484"/>
      <c r="J79" s="484"/>
      <c r="K79" s="484"/>
      <c r="L79" s="484"/>
      <c r="M79" s="484"/>
      <c r="N79" s="260"/>
      <c r="O79" s="258">
        <f>SUM(P79:Q79)</f>
        <v>1155</v>
      </c>
      <c r="P79" s="258">
        <v>859</v>
      </c>
      <c r="Q79" s="258">
        <v>296</v>
      </c>
      <c r="R79" s="258">
        <f>SUM(S79:T79)</f>
        <v>1644</v>
      </c>
      <c r="S79" s="258">
        <v>1282</v>
      </c>
      <c r="T79" s="258">
        <v>362</v>
      </c>
    </row>
    <row r="80" spans="2:20" ht="10.5" customHeight="1">
      <c r="B80" s="84"/>
      <c r="C80" s="59"/>
      <c r="D80" s="59"/>
      <c r="E80" s="484" t="s">
        <v>146</v>
      </c>
      <c r="F80" s="484"/>
      <c r="G80" s="484"/>
      <c r="H80" s="484"/>
      <c r="I80" s="484"/>
      <c r="J80" s="484"/>
      <c r="K80" s="484"/>
      <c r="L80" s="484"/>
      <c r="M80" s="484"/>
      <c r="N80" s="248"/>
      <c r="O80" s="258">
        <f>SUM(P80:Q80)</f>
        <v>939</v>
      </c>
      <c r="P80" s="258">
        <v>755</v>
      </c>
      <c r="Q80" s="258">
        <v>184</v>
      </c>
      <c r="R80" s="258">
        <f>SUM(S80:T80)</f>
        <v>1106</v>
      </c>
      <c r="S80" s="258">
        <v>926</v>
      </c>
      <c r="T80" s="258">
        <v>180</v>
      </c>
    </row>
    <row r="81" spans="2:20" ht="7.5" customHeight="1">
      <c r="B81" s="84"/>
      <c r="C81" s="84"/>
      <c r="D81" s="84"/>
      <c r="E81" s="84"/>
      <c r="F81" s="84"/>
      <c r="G81" s="84"/>
      <c r="H81" s="84"/>
      <c r="I81" s="84"/>
      <c r="J81" s="84"/>
      <c r="K81" s="84"/>
      <c r="L81" s="84"/>
      <c r="M81" s="84"/>
      <c r="N81" s="248"/>
      <c r="O81" s="259"/>
      <c r="P81" s="254"/>
      <c r="Q81" s="254"/>
      <c r="R81" s="254"/>
      <c r="S81" s="254"/>
      <c r="T81" s="254"/>
    </row>
    <row r="82" spans="2:20" s="249" customFormat="1" ht="10.5" customHeight="1">
      <c r="B82" s="250"/>
      <c r="C82" s="481" t="s">
        <v>228</v>
      </c>
      <c r="D82" s="481"/>
      <c r="E82" s="481"/>
      <c r="F82" s="481"/>
      <c r="G82" s="481"/>
      <c r="H82" s="481"/>
      <c r="I82" s="481"/>
      <c r="J82" s="481"/>
      <c r="K82" s="481"/>
      <c r="L82" s="481"/>
      <c r="M82" s="481"/>
      <c r="N82" s="251"/>
      <c r="O82" s="252">
        <f>SUM(P82:Q82)</f>
        <v>1451</v>
      </c>
      <c r="P82" s="252">
        <f>P54-P56-P74-P76</f>
        <v>1024</v>
      </c>
      <c r="Q82" s="252">
        <f>Q54-Q56-Q74-Q76</f>
        <v>427</v>
      </c>
      <c r="R82" s="252">
        <f>SUM(S82:T82)</f>
        <v>1654</v>
      </c>
      <c r="S82" s="252">
        <f>S54-S56-S74-S76</f>
        <v>1532</v>
      </c>
      <c r="T82" s="252">
        <f>T54-T56-T74-T76</f>
        <v>122</v>
      </c>
    </row>
    <row r="83" spans="2:20" ht="10.5" customHeight="1">
      <c r="B83" s="261"/>
      <c r="C83" s="261"/>
      <c r="D83" s="261"/>
      <c r="E83" s="261"/>
      <c r="F83" s="261"/>
      <c r="G83" s="261"/>
      <c r="H83" s="261"/>
      <c r="I83" s="261"/>
      <c r="J83" s="261"/>
      <c r="K83" s="261"/>
      <c r="L83" s="261"/>
      <c r="M83" s="261"/>
      <c r="N83" s="262"/>
      <c r="O83" s="261"/>
      <c r="P83" s="261"/>
      <c r="Q83" s="261"/>
      <c r="R83" s="261"/>
      <c r="S83" s="261"/>
      <c r="T83" s="261"/>
    </row>
    <row r="84" spans="3:10" ht="10.5" customHeight="1">
      <c r="C84" s="494" t="s">
        <v>277</v>
      </c>
      <c r="D84" s="494"/>
      <c r="E84" s="263" t="s">
        <v>278</v>
      </c>
      <c r="F84" s="338" t="s">
        <v>147</v>
      </c>
      <c r="H84" s="264"/>
      <c r="I84" s="264"/>
      <c r="J84" s="264"/>
    </row>
    <row r="85" spans="2:10" ht="10.5" customHeight="1">
      <c r="B85" s="495" t="s">
        <v>192</v>
      </c>
      <c r="C85" s="495"/>
      <c r="D85" s="495"/>
      <c r="E85" s="263" t="s">
        <v>148</v>
      </c>
      <c r="F85" s="339" t="s">
        <v>484</v>
      </c>
      <c r="H85" s="240"/>
      <c r="I85" s="240"/>
      <c r="J85" s="240"/>
    </row>
    <row r="91" ht="11.25">
      <c r="L91" s="264"/>
    </row>
    <row r="92" ht="11.25">
      <c r="L92" s="240"/>
    </row>
  </sheetData>
  <sheetProtection/>
  <mergeCells count="63">
    <mergeCell ref="C84:D84"/>
    <mergeCell ref="B85:D85"/>
    <mergeCell ref="E71:M71"/>
    <mergeCell ref="E69:M69"/>
    <mergeCell ref="C76:M76"/>
    <mergeCell ref="E72:M72"/>
    <mergeCell ref="B3:T3"/>
    <mergeCell ref="C82:M82"/>
    <mergeCell ref="E80:M80"/>
    <mergeCell ref="C78:I78"/>
    <mergeCell ref="E79:M79"/>
    <mergeCell ref="C74:M74"/>
    <mergeCell ref="E61:M61"/>
    <mergeCell ref="E60:M60"/>
    <mergeCell ref="E59:M59"/>
    <mergeCell ref="C58:I58"/>
    <mergeCell ref="E63:M63"/>
    <mergeCell ref="E62:M62"/>
    <mergeCell ref="E68:M68"/>
    <mergeCell ref="E67:M67"/>
    <mergeCell ref="E66:M66"/>
    <mergeCell ref="E65:M65"/>
    <mergeCell ref="C56:M56"/>
    <mergeCell ref="C54:M54"/>
    <mergeCell ref="E52:M52"/>
    <mergeCell ref="E50:M50"/>
    <mergeCell ref="E49:M49"/>
    <mergeCell ref="E51:M51"/>
    <mergeCell ref="E48:M48"/>
    <mergeCell ref="E46:M46"/>
    <mergeCell ref="E45:M45"/>
    <mergeCell ref="E44:M44"/>
    <mergeCell ref="E43:M43"/>
    <mergeCell ref="E42:M42"/>
    <mergeCell ref="C41:I41"/>
    <mergeCell ref="C39:M39"/>
    <mergeCell ref="E37:M37"/>
    <mergeCell ref="E36:M36"/>
    <mergeCell ref="E14:M14"/>
    <mergeCell ref="E34:M34"/>
    <mergeCell ref="E33:M33"/>
    <mergeCell ref="E32:M32"/>
    <mergeCell ref="E31:M31"/>
    <mergeCell ref="E19:M19"/>
    <mergeCell ref="E30:M30"/>
    <mergeCell ref="E28:M28"/>
    <mergeCell ref="E27:M27"/>
    <mergeCell ref="E26:M26"/>
    <mergeCell ref="E25:M25"/>
    <mergeCell ref="E24:M24"/>
    <mergeCell ref="E22:M22"/>
    <mergeCell ref="E21:M21"/>
    <mergeCell ref="E20:M20"/>
    <mergeCell ref="E18:M18"/>
    <mergeCell ref="E16:M16"/>
    <mergeCell ref="E15:M15"/>
    <mergeCell ref="R5:T5"/>
    <mergeCell ref="B5:N6"/>
    <mergeCell ref="O5:Q5"/>
    <mergeCell ref="E13:M13"/>
    <mergeCell ref="E12:M12"/>
    <mergeCell ref="C8:M8"/>
    <mergeCell ref="C10:M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selection activeCell="B3" sqref="B3:S3"/>
    </sheetView>
  </sheetViews>
  <sheetFormatPr defaultColWidth="9.00390625" defaultRowHeight="13.5"/>
  <cols>
    <col min="1" max="10" width="1.625" style="241" customWidth="1"/>
    <col min="11" max="19" width="9.375" style="241" customWidth="1"/>
    <col min="20" max="20" width="1.625" style="241" customWidth="1"/>
    <col min="21" max="16384" width="9.00390625" style="241" customWidth="1"/>
  </cols>
  <sheetData>
    <row r="1" spans="1:20" ht="10.5" customHeight="1">
      <c r="A1" s="340" t="s">
        <v>492</v>
      </c>
      <c r="B1" s="265"/>
      <c r="C1" s="266"/>
      <c r="D1" s="242"/>
      <c r="E1" s="242"/>
      <c r="F1" s="242"/>
      <c r="G1" s="242"/>
      <c r="H1" s="242"/>
      <c r="I1" s="242"/>
      <c r="J1" s="242"/>
      <c r="K1" s="242"/>
      <c r="T1" s="101"/>
    </row>
    <row r="2" spans="1:5" ht="10.5" customHeight="1">
      <c r="A2" s="242"/>
      <c r="E2" s="242"/>
    </row>
    <row r="3" spans="2:19" s="267" customFormat="1" ht="18" customHeight="1">
      <c r="B3" s="464" t="s">
        <v>406</v>
      </c>
      <c r="C3" s="464"/>
      <c r="D3" s="464"/>
      <c r="E3" s="464"/>
      <c r="F3" s="464"/>
      <c r="G3" s="464"/>
      <c r="H3" s="464"/>
      <c r="I3" s="464"/>
      <c r="J3" s="464"/>
      <c r="K3" s="464"/>
      <c r="L3" s="464"/>
      <c r="M3" s="464"/>
      <c r="N3" s="464"/>
      <c r="O3" s="464"/>
      <c r="P3" s="464"/>
      <c r="Q3" s="464"/>
      <c r="R3" s="464"/>
      <c r="S3" s="464"/>
    </row>
    <row r="4" spans="4:19" s="84" customFormat="1" ht="12.75" customHeight="1">
      <c r="D4" s="59"/>
      <c r="E4" s="59"/>
      <c r="S4" s="82" t="s">
        <v>467</v>
      </c>
    </row>
    <row r="5" spans="2:19" ht="15" customHeight="1">
      <c r="B5" s="491" t="s">
        <v>391</v>
      </c>
      <c r="C5" s="488"/>
      <c r="D5" s="488"/>
      <c r="E5" s="488"/>
      <c r="F5" s="488"/>
      <c r="G5" s="488"/>
      <c r="H5" s="488"/>
      <c r="I5" s="488"/>
      <c r="J5" s="488"/>
      <c r="K5" s="488" t="s">
        <v>387</v>
      </c>
      <c r="L5" s="488" t="s">
        <v>388</v>
      </c>
      <c r="M5" s="504" t="s">
        <v>389</v>
      </c>
      <c r="N5" s="488"/>
      <c r="O5" s="488"/>
      <c r="P5" s="504" t="s">
        <v>390</v>
      </c>
      <c r="Q5" s="488"/>
      <c r="R5" s="488"/>
      <c r="S5" s="489" t="s">
        <v>172</v>
      </c>
    </row>
    <row r="6" spans="2:19" ht="15" customHeight="1">
      <c r="B6" s="493"/>
      <c r="C6" s="501"/>
      <c r="D6" s="501"/>
      <c r="E6" s="501"/>
      <c r="F6" s="501"/>
      <c r="G6" s="501"/>
      <c r="H6" s="501"/>
      <c r="I6" s="501"/>
      <c r="J6" s="501"/>
      <c r="K6" s="501"/>
      <c r="L6" s="501"/>
      <c r="M6" s="246" t="s">
        <v>363</v>
      </c>
      <c r="N6" s="246" t="s">
        <v>231</v>
      </c>
      <c r="O6" s="246" t="s">
        <v>232</v>
      </c>
      <c r="P6" s="246" t="s">
        <v>363</v>
      </c>
      <c r="Q6" s="246" t="s">
        <v>231</v>
      </c>
      <c r="R6" s="246" t="s">
        <v>232</v>
      </c>
      <c r="S6" s="502"/>
    </row>
    <row r="7" spans="3:11" ht="10.5" customHeight="1">
      <c r="C7" s="84"/>
      <c r="D7" s="84"/>
      <c r="E7" s="84"/>
      <c r="F7" s="84"/>
      <c r="G7" s="84"/>
      <c r="H7" s="84"/>
      <c r="I7" s="84"/>
      <c r="J7" s="84"/>
      <c r="K7" s="268"/>
    </row>
    <row r="8" spans="2:19" ht="10.5" customHeight="1">
      <c r="B8" s="503" t="s">
        <v>392</v>
      </c>
      <c r="C8" s="503"/>
      <c r="D8" s="503"/>
      <c r="E8" s="499">
        <v>30</v>
      </c>
      <c r="F8" s="499"/>
      <c r="G8" s="499"/>
      <c r="H8" s="499" t="s">
        <v>186</v>
      </c>
      <c r="I8" s="499"/>
      <c r="J8" s="499"/>
      <c r="K8" s="269">
        <v>185814</v>
      </c>
      <c r="L8" s="254">
        <v>154462</v>
      </c>
      <c r="M8" s="254">
        <f>SUM(N8:O8)</f>
        <v>15074</v>
      </c>
      <c r="N8" s="254">
        <v>7739</v>
      </c>
      <c r="O8" s="254">
        <v>7335</v>
      </c>
      <c r="P8" s="254">
        <f>SUM(Q8:R8)</f>
        <v>46426</v>
      </c>
      <c r="Q8" s="254">
        <v>36057</v>
      </c>
      <c r="R8" s="254">
        <v>10369</v>
      </c>
      <c r="S8" s="254">
        <v>139388</v>
      </c>
    </row>
    <row r="9" spans="3:19" ht="10.5" customHeight="1">
      <c r="C9" s="84"/>
      <c r="D9" s="84"/>
      <c r="E9" s="499">
        <v>35</v>
      </c>
      <c r="F9" s="499"/>
      <c r="G9" s="499"/>
      <c r="H9" s="84"/>
      <c r="I9" s="84"/>
      <c r="J9" s="84"/>
      <c r="K9" s="269">
        <v>305628</v>
      </c>
      <c r="L9" s="254">
        <v>239543</v>
      </c>
      <c r="M9" s="254">
        <f aca="true" t="shared" si="0" ref="M9:M17">SUM(N9:O9)</f>
        <v>25198</v>
      </c>
      <c r="N9" s="254">
        <v>15686</v>
      </c>
      <c r="O9" s="254">
        <v>9512</v>
      </c>
      <c r="P9" s="254">
        <f aca="true" t="shared" si="1" ref="P9:P17">SUM(Q9:R9)</f>
        <v>91059</v>
      </c>
      <c r="Q9" s="254">
        <v>72967</v>
      </c>
      <c r="R9" s="254">
        <v>18092</v>
      </c>
      <c r="S9" s="254">
        <v>214569</v>
      </c>
    </row>
    <row r="10" spans="3:19" ht="10.5" customHeight="1">
      <c r="C10" s="84"/>
      <c r="D10" s="84"/>
      <c r="E10" s="499">
        <v>40</v>
      </c>
      <c r="F10" s="499"/>
      <c r="G10" s="499"/>
      <c r="H10" s="84"/>
      <c r="I10" s="84"/>
      <c r="J10" s="84"/>
      <c r="K10" s="269">
        <v>434721</v>
      </c>
      <c r="L10" s="254">
        <v>339426</v>
      </c>
      <c r="M10" s="254">
        <f t="shared" si="0"/>
        <v>46161</v>
      </c>
      <c r="N10" s="254">
        <v>30629</v>
      </c>
      <c r="O10" s="254">
        <v>15532</v>
      </c>
      <c r="P10" s="254">
        <f t="shared" si="1"/>
        <v>141456</v>
      </c>
      <c r="Q10" s="254">
        <v>109521</v>
      </c>
      <c r="R10" s="254">
        <v>31935</v>
      </c>
      <c r="S10" s="254">
        <v>293265</v>
      </c>
    </row>
    <row r="11" spans="3:19" ht="10.5" customHeight="1">
      <c r="C11" s="84"/>
      <c r="D11" s="84"/>
      <c r="E11" s="499">
        <v>45</v>
      </c>
      <c r="F11" s="499"/>
      <c r="G11" s="499"/>
      <c r="H11" s="84"/>
      <c r="I11" s="84"/>
      <c r="J11" s="84"/>
      <c r="K11" s="269">
        <v>527931</v>
      </c>
      <c r="L11" s="254">
        <v>418131</v>
      </c>
      <c r="M11" s="254">
        <f t="shared" si="0"/>
        <v>61711</v>
      </c>
      <c r="N11" s="254">
        <v>44727</v>
      </c>
      <c r="O11" s="254">
        <v>16984</v>
      </c>
      <c r="P11" s="254">
        <f t="shared" si="1"/>
        <v>171511</v>
      </c>
      <c r="Q11" s="254">
        <v>132482</v>
      </c>
      <c r="R11" s="254">
        <v>39029</v>
      </c>
      <c r="S11" s="254">
        <v>356420</v>
      </c>
    </row>
    <row r="12" spans="3:19" ht="10.5" customHeight="1">
      <c r="C12" s="84"/>
      <c r="D12" s="84"/>
      <c r="E12" s="499">
        <v>50</v>
      </c>
      <c r="F12" s="499"/>
      <c r="G12" s="499"/>
      <c r="H12" s="84"/>
      <c r="I12" s="84"/>
      <c r="J12" s="84"/>
      <c r="K12" s="269">
        <v>559665</v>
      </c>
      <c r="L12" s="254">
        <v>446554</v>
      </c>
      <c r="M12" s="254">
        <f t="shared" si="0"/>
        <v>70271</v>
      </c>
      <c r="N12" s="254">
        <v>53022</v>
      </c>
      <c r="O12" s="254">
        <v>17249</v>
      </c>
      <c r="P12" s="254">
        <f t="shared" si="1"/>
        <v>183382</v>
      </c>
      <c r="Q12" s="254">
        <v>138662</v>
      </c>
      <c r="R12" s="254">
        <v>44720</v>
      </c>
      <c r="S12" s="254">
        <v>376283</v>
      </c>
    </row>
    <row r="13" spans="3:19" ht="10.5" customHeight="1">
      <c r="C13" s="84"/>
      <c r="D13" s="84"/>
      <c r="E13" s="499">
        <v>55</v>
      </c>
      <c r="F13" s="499"/>
      <c r="G13" s="499"/>
      <c r="H13" s="84"/>
      <c r="I13" s="84"/>
      <c r="J13" s="84"/>
      <c r="K13" s="269">
        <v>563274</v>
      </c>
      <c r="L13" s="254">
        <v>442139</v>
      </c>
      <c r="M13" s="254">
        <f t="shared" si="0"/>
        <v>75721</v>
      </c>
      <c r="N13" s="254">
        <v>59882</v>
      </c>
      <c r="O13" s="254">
        <v>15839</v>
      </c>
      <c r="P13" s="254">
        <f t="shared" si="1"/>
        <v>196856</v>
      </c>
      <c r="Q13" s="254">
        <v>150209</v>
      </c>
      <c r="R13" s="254">
        <v>46647</v>
      </c>
      <c r="S13" s="254">
        <v>366418</v>
      </c>
    </row>
    <row r="14" spans="3:19" ht="10.5" customHeight="1">
      <c r="C14" s="84"/>
      <c r="D14" s="84"/>
      <c r="E14" s="499">
        <v>60</v>
      </c>
      <c r="F14" s="499"/>
      <c r="G14" s="499"/>
      <c r="H14" s="84"/>
      <c r="I14" s="84"/>
      <c r="J14" s="84"/>
      <c r="K14" s="269">
        <v>587475</v>
      </c>
      <c r="L14" s="254">
        <v>451541</v>
      </c>
      <c r="M14" s="254">
        <f t="shared" si="0"/>
        <v>80788</v>
      </c>
      <c r="N14" s="254">
        <v>64726</v>
      </c>
      <c r="O14" s="254">
        <v>16062</v>
      </c>
      <c r="P14" s="254">
        <f t="shared" si="1"/>
        <v>216722</v>
      </c>
      <c r="Q14" s="254">
        <v>172885</v>
      </c>
      <c r="R14" s="254">
        <v>43837</v>
      </c>
      <c r="S14" s="254">
        <v>370753</v>
      </c>
    </row>
    <row r="15" spans="2:19" ht="10.5" customHeight="1">
      <c r="B15" s="503" t="s">
        <v>393</v>
      </c>
      <c r="C15" s="503"/>
      <c r="D15" s="503"/>
      <c r="E15" s="500" t="s">
        <v>395</v>
      </c>
      <c r="F15" s="500"/>
      <c r="G15" s="500"/>
      <c r="H15" s="499" t="s">
        <v>186</v>
      </c>
      <c r="I15" s="499"/>
      <c r="J15" s="499"/>
      <c r="K15" s="269">
        <v>614646</v>
      </c>
      <c r="L15" s="254">
        <v>461017</v>
      </c>
      <c r="M15" s="254">
        <f t="shared" si="0"/>
        <v>88310</v>
      </c>
      <c r="N15" s="254">
        <v>72744</v>
      </c>
      <c r="O15" s="254">
        <v>15566</v>
      </c>
      <c r="P15" s="254">
        <f t="shared" si="1"/>
        <v>241939</v>
      </c>
      <c r="Q15" s="254">
        <v>198533</v>
      </c>
      <c r="R15" s="254">
        <v>43406</v>
      </c>
      <c r="S15" s="254">
        <v>372707</v>
      </c>
    </row>
    <row r="16" spans="3:19" ht="10.5" customHeight="1">
      <c r="C16" s="84"/>
      <c r="D16" s="84"/>
      <c r="E16" s="500" t="s">
        <v>394</v>
      </c>
      <c r="F16" s="500"/>
      <c r="G16" s="500"/>
      <c r="H16" s="84"/>
      <c r="I16" s="84"/>
      <c r="J16" s="84"/>
      <c r="K16" s="269">
        <v>630366</v>
      </c>
      <c r="L16" s="254">
        <v>476777</v>
      </c>
      <c r="M16" s="254">
        <f t="shared" si="0"/>
        <v>90779</v>
      </c>
      <c r="N16" s="254">
        <v>76505</v>
      </c>
      <c r="O16" s="254">
        <v>14274</v>
      </c>
      <c r="P16" s="254">
        <f t="shared" si="1"/>
        <v>244368</v>
      </c>
      <c r="Q16" s="254">
        <v>204872</v>
      </c>
      <c r="R16" s="254">
        <v>39496</v>
      </c>
      <c r="S16" s="254">
        <v>385998</v>
      </c>
    </row>
    <row r="17" spans="2:19" s="249" customFormat="1" ht="10.5" customHeight="1">
      <c r="B17" s="505"/>
      <c r="C17" s="505"/>
      <c r="D17" s="505"/>
      <c r="E17" s="500">
        <v>12</v>
      </c>
      <c r="F17" s="500"/>
      <c r="G17" s="500"/>
      <c r="H17" s="499"/>
      <c r="I17" s="499"/>
      <c r="J17" s="499"/>
      <c r="K17" s="300">
        <v>654150</v>
      </c>
      <c r="L17" s="258">
        <v>507286</v>
      </c>
      <c r="M17" s="254">
        <f t="shared" si="0"/>
        <v>85656</v>
      </c>
      <c r="N17" s="274">
        <v>73099</v>
      </c>
      <c r="O17" s="274">
        <v>12557</v>
      </c>
      <c r="P17" s="254">
        <f t="shared" si="1"/>
        <v>232520</v>
      </c>
      <c r="Q17" s="274">
        <v>197822</v>
      </c>
      <c r="R17" s="274">
        <v>34698</v>
      </c>
      <c r="S17" s="274">
        <v>421630</v>
      </c>
    </row>
    <row r="18" spans="2:19" s="249" customFormat="1" ht="10.5" customHeight="1">
      <c r="B18" s="505"/>
      <c r="C18" s="505"/>
      <c r="D18" s="505"/>
      <c r="E18" s="506" t="s">
        <v>481</v>
      </c>
      <c r="F18" s="506"/>
      <c r="G18" s="506"/>
      <c r="H18" s="505"/>
      <c r="I18" s="505"/>
      <c r="J18" s="505"/>
      <c r="K18" s="270">
        <f aca="true" t="shared" si="2" ref="K18:S18">SUM(K20:K36)</f>
        <v>643687</v>
      </c>
      <c r="L18" s="252">
        <f t="shared" si="2"/>
        <v>530628</v>
      </c>
      <c r="M18" s="271">
        <f t="shared" si="2"/>
        <v>83285</v>
      </c>
      <c r="N18" s="271">
        <f t="shared" si="2"/>
        <v>71629</v>
      </c>
      <c r="O18" s="271">
        <f t="shared" si="2"/>
        <v>11656</v>
      </c>
      <c r="P18" s="271">
        <f t="shared" si="2"/>
        <v>196344</v>
      </c>
      <c r="Q18" s="271">
        <f t="shared" si="2"/>
        <v>167532</v>
      </c>
      <c r="R18" s="271">
        <f t="shared" si="2"/>
        <v>28812</v>
      </c>
      <c r="S18" s="271">
        <f t="shared" si="2"/>
        <v>447343</v>
      </c>
    </row>
    <row r="19" spans="3:19" ht="7.5" customHeight="1">
      <c r="C19" s="59"/>
      <c r="D19" s="59"/>
      <c r="E19" s="59"/>
      <c r="F19" s="59"/>
      <c r="G19" s="59"/>
      <c r="H19" s="59"/>
      <c r="I19" s="59"/>
      <c r="J19" s="84"/>
      <c r="K19" s="272"/>
      <c r="L19" s="273"/>
      <c r="M19" s="274"/>
      <c r="N19" s="274"/>
      <c r="O19" s="274"/>
      <c r="P19" s="274"/>
      <c r="Q19" s="274"/>
      <c r="R19" s="274"/>
      <c r="S19" s="274"/>
    </row>
    <row r="20" spans="3:19" ht="10.5" customHeight="1">
      <c r="C20" s="484" t="s">
        <v>233</v>
      </c>
      <c r="D20" s="484"/>
      <c r="E20" s="484"/>
      <c r="F20" s="484"/>
      <c r="G20" s="484"/>
      <c r="H20" s="484"/>
      <c r="I20" s="484"/>
      <c r="J20" s="84"/>
      <c r="K20" s="272">
        <v>80006</v>
      </c>
      <c r="L20" s="273">
        <v>77999</v>
      </c>
      <c r="M20" s="255">
        <f aca="true" t="shared" si="3" ref="M20:M29">SUM(N20:O20)</f>
        <v>1953</v>
      </c>
      <c r="N20" s="255">
        <v>0</v>
      </c>
      <c r="O20" s="255">
        <v>1953</v>
      </c>
      <c r="P20" s="255">
        <f aca="true" t="shared" si="4" ref="P20:P29">SUM(Q20:R20)</f>
        <v>3960</v>
      </c>
      <c r="Q20" s="255">
        <v>0</v>
      </c>
      <c r="R20" s="255">
        <v>3960</v>
      </c>
      <c r="S20" s="273">
        <f aca="true" t="shared" si="5" ref="S20:S29">SUM(L20-M20)</f>
        <v>76046</v>
      </c>
    </row>
    <row r="21" spans="3:19" ht="10.5" customHeight="1">
      <c r="C21" s="484" t="s">
        <v>234</v>
      </c>
      <c r="D21" s="484"/>
      <c r="E21" s="484"/>
      <c r="F21" s="484"/>
      <c r="G21" s="484"/>
      <c r="H21" s="484"/>
      <c r="I21" s="484"/>
      <c r="J21" s="84"/>
      <c r="K21" s="272">
        <v>29977</v>
      </c>
      <c r="L21" s="273">
        <v>20093</v>
      </c>
      <c r="M21" s="255">
        <f t="shared" si="3"/>
        <v>6922</v>
      </c>
      <c r="N21" s="255">
        <v>768</v>
      </c>
      <c r="O21" s="255">
        <v>6154</v>
      </c>
      <c r="P21" s="255">
        <f t="shared" si="4"/>
        <v>16806</v>
      </c>
      <c r="Q21" s="255">
        <v>1521</v>
      </c>
      <c r="R21" s="255">
        <v>15285</v>
      </c>
      <c r="S21" s="273">
        <f t="shared" si="5"/>
        <v>13171</v>
      </c>
    </row>
    <row r="22" spans="3:19" ht="10.5" customHeight="1">
      <c r="C22" s="484" t="s">
        <v>235</v>
      </c>
      <c r="D22" s="484"/>
      <c r="E22" s="484"/>
      <c r="F22" s="484"/>
      <c r="G22" s="484"/>
      <c r="H22" s="484"/>
      <c r="I22" s="484"/>
      <c r="J22" s="84"/>
      <c r="K22" s="272">
        <v>38373</v>
      </c>
      <c r="L22" s="273">
        <v>26779</v>
      </c>
      <c r="M22" s="255">
        <f t="shared" si="3"/>
        <v>8690</v>
      </c>
      <c r="N22" s="255">
        <v>5533</v>
      </c>
      <c r="O22" s="255">
        <v>3157</v>
      </c>
      <c r="P22" s="255">
        <f t="shared" si="4"/>
        <v>20284</v>
      </c>
      <c r="Q22" s="255">
        <v>12184</v>
      </c>
      <c r="R22" s="255">
        <v>8100</v>
      </c>
      <c r="S22" s="273">
        <f t="shared" si="5"/>
        <v>18089</v>
      </c>
    </row>
    <row r="23" spans="3:19" ht="10.5" customHeight="1">
      <c r="C23" s="484" t="s">
        <v>236</v>
      </c>
      <c r="D23" s="484"/>
      <c r="E23" s="484"/>
      <c r="F23" s="484"/>
      <c r="G23" s="484"/>
      <c r="H23" s="484"/>
      <c r="I23" s="484"/>
      <c r="J23" s="84"/>
      <c r="K23" s="272">
        <v>42926</v>
      </c>
      <c r="L23" s="273">
        <v>30141</v>
      </c>
      <c r="M23" s="255">
        <f t="shared" si="3"/>
        <v>8484</v>
      </c>
      <c r="N23" s="255">
        <v>8225</v>
      </c>
      <c r="O23" s="255">
        <v>259</v>
      </c>
      <c r="P23" s="255">
        <f t="shared" si="4"/>
        <v>21269</v>
      </c>
      <c r="Q23" s="255">
        <v>20353</v>
      </c>
      <c r="R23" s="255">
        <v>916</v>
      </c>
      <c r="S23" s="273">
        <f t="shared" si="5"/>
        <v>21657</v>
      </c>
    </row>
    <row r="24" spans="3:19" ht="10.5" customHeight="1">
      <c r="C24" s="484" t="s">
        <v>237</v>
      </c>
      <c r="D24" s="484"/>
      <c r="E24" s="484"/>
      <c r="F24" s="484"/>
      <c r="G24" s="484"/>
      <c r="H24" s="484"/>
      <c r="I24" s="484"/>
      <c r="J24" s="84"/>
      <c r="K24" s="272">
        <v>52304</v>
      </c>
      <c r="L24" s="273">
        <v>38191</v>
      </c>
      <c r="M24" s="255">
        <f t="shared" si="3"/>
        <v>9667</v>
      </c>
      <c r="N24" s="255">
        <v>9592</v>
      </c>
      <c r="O24" s="255">
        <v>75</v>
      </c>
      <c r="P24" s="255">
        <f t="shared" si="4"/>
        <v>23780</v>
      </c>
      <c r="Q24" s="255">
        <v>23522</v>
      </c>
      <c r="R24" s="255">
        <v>258</v>
      </c>
      <c r="S24" s="273">
        <f t="shared" si="5"/>
        <v>28524</v>
      </c>
    </row>
    <row r="25" spans="3:19" ht="10.5" customHeight="1">
      <c r="C25" s="484" t="s">
        <v>238</v>
      </c>
      <c r="D25" s="484"/>
      <c r="E25" s="484"/>
      <c r="F25" s="484"/>
      <c r="G25" s="484"/>
      <c r="H25" s="484"/>
      <c r="I25" s="484"/>
      <c r="J25" s="84"/>
      <c r="K25" s="272">
        <v>52371</v>
      </c>
      <c r="L25" s="273">
        <v>38397</v>
      </c>
      <c r="M25" s="255">
        <f t="shared" si="3"/>
        <v>8290</v>
      </c>
      <c r="N25" s="255">
        <v>8266</v>
      </c>
      <c r="O25" s="255">
        <v>24</v>
      </c>
      <c r="P25" s="255">
        <f t="shared" si="4"/>
        <v>22264</v>
      </c>
      <c r="Q25" s="255">
        <v>22149</v>
      </c>
      <c r="R25" s="255">
        <v>115</v>
      </c>
      <c r="S25" s="273">
        <f t="shared" si="5"/>
        <v>30107</v>
      </c>
    </row>
    <row r="26" spans="3:19" ht="10.5" customHeight="1">
      <c r="C26" s="484" t="s">
        <v>239</v>
      </c>
      <c r="D26" s="484"/>
      <c r="E26" s="484"/>
      <c r="F26" s="484"/>
      <c r="G26" s="484"/>
      <c r="H26" s="484"/>
      <c r="I26" s="484"/>
      <c r="J26" s="84"/>
      <c r="K26" s="272">
        <v>47718</v>
      </c>
      <c r="L26" s="273">
        <v>34974</v>
      </c>
      <c r="M26" s="255">
        <f t="shared" si="3"/>
        <v>7708</v>
      </c>
      <c r="N26" s="255">
        <v>7693</v>
      </c>
      <c r="O26" s="255">
        <v>15</v>
      </c>
      <c r="P26" s="255">
        <f t="shared" si="4"/>
        <v>20452</v>
      </c>
      <c r="Q26" s="255">
        <v>20390</v>
      </c>
      <c r="R26" s="255">
        <v>62</v>
      </c>
      <c r="S26" s="273">
        <f t="shared" si="5"/>
        <v>27266</v>
      </c>
    </row>
    <row r="27" spans="3:19" ht="10.5" customHeight="1">
      <c r="C27" s="484" t="s">
        <v>240</v>
      </c>
      <c r="D27" s="484"/>
      <c r="E27" s="484"/>
      <c r="F27" s="484"/>
      <c r="G27" s="484"/>
      <c r="H27" s="484"/>
      <c r="I27" s="484"/>
      <c r="J27" s="84"/>
      <c r="K27" s="272">
        <v>40552</v>
      </c>
      <c r="L27" s="273">
        <v>30153</v>
      </c>
      <c r="M27" s="255">
        <f t="shared" si="3"/>
        <v>6851</v>
      </c>
      <c r="N27" s="255">
        <v>6843</v>
      </c>
      <c r="O27" s="255">
        <v>8</v>
      </c>
      <c r="P27" s="255">
        <f t="shared" si="4"/>
        <v>17250</v>
      </c>
      <c r="Q27" s="255">
        <v>17215</v>
      </c>
      <c r="R27" s="255">
        <v>35</v>
      </c>
      <c r="S27" s="273">
        <f t="shared" si="5"/>
        <v>23302</v>
      </c>
    </row>
    <row r="28" spans="3:19" ht="10.5" customHeight="1">
      <c r="C28" s="484" t="s">
        <v>241</v>
      </c>
      <c r="D28" s="484"/>
      <c r="E28" s="484"/>
      <c r="F28" s="484"/>
      <c r="G28" s="484"/>
      <c r="H28" s="484"/>
      <c r="I28" s="484"/>
      <c r="J28" s="84"/>
      <c r="K28" s="272">
        <v>39384</v>
      </c>
      <c r="L28" s="273">
        <v>31222</v>
      </c>
      <c r="M28" s="255">
        <f t="shared" si="3"/>
        <v>7395</v>
      </c>
      <c r="N28" s="255">
        <v>7390</v>
      </c>
      <c r="O28" s="255">
        <v>5</v>
      </c>
      <c r="P28" s="255">
        <f t="shared" si="4"/>
        <v>15557</v>
      </c>
      <c r="Q28" s="255">
        <v>15527</v>
      </c>
      <c r="R28" s="255">
        <v>30</v>
      </c>
      <c r="S28" s="273">
        <f t="shared" si="5"/>
        <v>23827</v>
      </c>
    </row>
    <row r="29" spans="3:19" ht="10.5" customHeight="1">
      <c r="C29" s="484" t="s">
        <v>242</v>
      </c>
      <c r="D29" s="484"/>
      <c r="E29" s="484"/>
      <c r="F29" s="484"/>
      <c r="G29" s="484"/>
      <c r="H29" s="484"/>
      <c r="I29" s="484"/>
      <c r="J29" s="84"/>
      <c r="K29" s="272">
        <v>46993</v>
      </c>
      <c r="L29" s="273">
        <v>38963</v>
      </c>
      <c r="M29" s="255">
        <f t="shared" si="3"/>
        <v>8250</v>
      </c>
      <c r="N29" s="255">
        <v>8247</v>
      </c>
      <c r="O29" s="255">
        <v>3</v>
      </c>
      <c r="P29" s="255">
        <f t="shared" si="4"/>
        <v>16280</v>
      </c>
      <c r="Q29" s="255">
        <v>16257</v>
      </c>
      <c r="R29" s="255">
        <v>23</v>
      </c>
      <c r="S29" s="273">
        <f t="shared" si="5"/>
        <v>30713</v>
      </c>
    </row>
    <row r="30" spans="3:19" ht="7.5" customHeight="1">
      <c r="C30" s="59"/>
      <c r="D30" s="59"/>
      <c r="E30" s="59"/>
      <c r="F30" s="59"/>
      <c r="G30" s="59"/>
      <c r="H30" s="59"/>
      <c r="I30" s="59"/>
      <c r="J30" s="84"/>
      <c r="K30" s="272"/>
      <c r="L30" s="273"/>
      <c r="M30" s="274"/>
      <c r="N30" s="274"/>
      <c r="O30" s="274"/>
      <c r="P30" s="274"/>
      <c r="Q30" s="274"/>
      <c r="R30" s="274"/>
      <c r="S30" s="273"/>
    </row>
    <row r="31" spans="3:19" ht="10.5" customHeight="1">
      <c r="C31" s="484" t="s">
        <v>243</v>
      </c>
      <c r="D31" s="484"/>
      <c r="E31" s="484"/>
      <c r="F31" s="484"/>
      <c r="G31" s="484"/>
      <c r="H31" s="484"/>
      <c r="I31" s="484"/>
      <c r="J31" s="84"/>
      <c r="K31" s="272">
        <v>42328</v>
      </c>
      <c r="L31" s="273">
        <v>38021</v>
      </c>
      <c r="M31" s="255">
        <f aca="true" t="shared" si="6" ref="M31:M36">SUM(N31:O31)</f>
        <v>5281</v>
      </c>
      <c r="N31" s="274">
        <v>5281</v>
      </c>
      <c r="O31" s="274">
        <v>0</v>
      </c>
      <c r="P31" s="255">
        <f aca="true" t="shared" si="7" ref="P31:P36">SUM(Q31:R31)</f>
        <v>9588</v>
      </c>
      <c r="Q31" s="274">
        <v>9577</v>
      </c>
      <c r="R31" s="274">
        <v>11</v>
      </c>
      <c r="S31" s="273">
        <f aca="true" t="shared" si="8" ref="S31:S36">SUM(L31-M31)</f>
        <v>32740</v>
      </c>
    </row>
    <row r="32" spans="3:19" ht="10.5" customHeight="1">
      <c r="C32" s="484" t="s">
        <v>244</v>
      </c>
      <c r="D32" s="484"/>
      <c r="E32" s="484"/>
      <c r="F32" s="484"/>
      <c r="G32" s="484"/>
      <c r="H32" s="484"/>
      <c r="I32" s="484"/>
      <c r="J32" s="84"/>
      <c r="K32" s="272">
        <v>39703</v>
      </c>
      <c r="L32" s="273">
        <v>37112</v>
      </c>
      <c r="M32" s="255">
        <f t="shared" si="6"/>
        <v>2458</v>
      </c>
      <c r="N32" s="255">
        <f>768+591+1097</f>
        <v>2456</v>
      </c>
      <c r="O32" s="255">
        <f>768+591+1099-N32</f>
        <v>2</v>
      </c>
      <c r="P32" s="255">
        <f t="shared" si="7"/>
        <v>5049</v>
      </c>
      <c r="Q32" s="255">
        <f>3968+392+683</f>
        <v>5043</v>
      </c>
      <c r="R32" s="255">
        <f>3973+393+683-Q32</f>
        <v>6</v>
      </c>
      <c r="S32" s="273">
        <f t="shared" si="8"/>
        <v>34654</v>
      </c>
    </row>
    <row r="33" spans="3:19" ht="10.5" customHeight="1">
      <c r="C33" s="484" t="s">
        <v>245</v>
      </c>
      <c r="D33" s="484"/>
      <c r="E33" s="484"/>
      <c r="F33" s="484"/>
      <c r="G33" s="484"/>
      <c r="H33" s="484"/>
      <c r="I33" s="484"/>
      <c r="J33" s="84"/>
      <c r="K33" s="272">
        <v>36362</v>
      </c>
      <c r="L33" s="273">
        <v>34858</v>
      </c>
      <c r="M33" s="255">
        <f t="shared" si="6"/>
        <v>966</v>
      </c>
      <c r="N33" s="255">
        <f>352+237+376</f>
        <v>965</v>
      </c>
      <c r="O33" s="255">
        <f>352+237+377-N33</f>
        <v>1</v>
      </c>
      <c r="P33" s="255">
        <f t="shared" si="7"/>
        <v>2470</v>
      </c>
      <c r="Q33" s="255">
        <f>1936+175+354</f>
        <v>2465</v>
      </c>
      <c r="R33" s="255">
        <f>1939+177+354-Q33</f>
        <v>5</v>
      </c>
      <c r="S33" s="273">
        <f t="shared" si="8"/>
        <v>33892</v>
      </c>
    </row>
    <row r="34" spans="3:19" ht="10.5" customHeight="1">
      <c r="C34" s="484" t="s">
        <v>246</v>
      </c>
      <c r="D34" s="484"/>
      <c r="E34" s="484"/>
      <c r="F34" s="484"/>
      <c r="G34" s="484"/>
      <c r="H34" s="484"/>
      <c r="I34" s="484"/>
      <c r="J34" s="84"/>
      <c r="K34" s="272">
        <v>26769</v>
      </c>
      <c r="L34" s="273">
        <v>26127</v>
      </c>
      <c r="M34" s="255">
        <f t="shared" si="6"/>
        <v>271</v>
      </c>
      <c r="N34" s="255">
        <f>125+71+75</f>
        <v>271</v>
      </c>
      <c r="O34" s="274">
        <v>0</v>
      </c>
      <c r="P34" s="255">
        <f t="shared" si="7"/>
        <v>913</v>
      </c>
      <c r="Q34" s="255">
        <f>714+52+145</f>
        <v>911</v>
      </c>
      <c r="R34" s="255">
        <f>716+52+145-Q34</f>
        <v>2</v>
      </c>
      <c r="S34" s="273">
        <f t="shared" si="8"/>
        <v>25856</v>
      </c>
    </row>
    <row r="35" spans="3:19" ht="10.5" customHeight="1">
      <c r="C35" s="484" t="s">
        <v>247</v>
      </c>
      <c r="D35" s="484"/>
      <c r="E35" s="484"/>
      <c r="F35" s="484"/>
      <c r="G35" s="484"/>
      <c r="H35" s="484"/>
      <c r="I35" s="484"/>
      <c r="J35" s="84"/>
      <c r="K35" s="272">
        <v>15850</v>
      </c>
      <c r="L35" s="273">
        <v>15594</v>
      </c>
      <c r="M35" s="255">
        <f t="shared" si="6"/>
        <v>73</v>
      </c>
      <c r="N35" s="255">
        <f>28+13+32</f>
        <v>73</v>
      </c>
      <c r="O35" s="255">
        <v>0</v>
      </c>
      <c r="P35" s="255">
        <f t="shared" si="7"/>
        <v>329</v>
      </c>
      <c r="Q35" s="255">
        <f>259+20+48</f>
        <v>327</v>
      </c>
      <c r="R35" s="255">
        <f>261+20+48-Q35</f>
        <v>2</v>
      </c>
      <c r="S35" s="273">
        <f t="shared" si="8"/>
        <v>15521</v>
      </c>
    </row>
    <row r="36" spans="3:19" ht="10.5" customHeight="1">
      <c r="C36" s="484" t="s">
        <v>248</v>
      </c>
      <c r="D36" s="484"/>
      <c r="E36" s="484"/>
      <c r="F36" s="484"/>
      <c r="G36" s="484"/>
      <c r="H36" s="484"/>
      <c r="I36" s="484"/>
      <c r="J36" s="84"/>
      <c r="K36" s="272">
        <v>12071</v>
      </c>
      <c r="L36" s="273">
        <v>12004</v>
      </c>
      <c r="M36" s="255">
        <f t="shared" si="6"/>
        <v>26</v>
      </c>
      <c r="N36" s="255">
        <f>14+7+5</f>
        <v>26</v>
      </c>
      <c r="O36" s="255">
        <v>0</v>
      </c>
      <c r="P36" s="255">
        <f t="shared" si="7"/>
        <v>93</v>
      </c>
      <c r="Q36" s="255">
        <f>80+3+8</f>
        <v>91</v>
      </c>
      <c r="R36" s="255">
        <f>82+3+8-Q36</f>
        <v>2</v>
      </c>
      <c r="S36" s="273">
        <f t="shared" si="8"/>
        <v>11978</v>
      </c>
    </row>
    <row r="37" spans="3:19" ht="7.5" customHeight="1">
      <c r="C37" s="59"/>
      <c r="D37" s="59"/>
      <c r="E37" s="59"/>
      <c r="F37" s="59"/>
      <c r="G37" s="59"/>
      <c r="H37" s="59"/>
      <c r="I37" s="59"/>
      <c r="J37" s="84"/>
      <c r="K37" s="272"/>
      <c r="L37" s="273"/>
      <c r="M37" s="255"/>
      <c r="N37" s="255"/>
      <c r="O37" s="255"/>
      <c r="P37" s="255"/>
      <c r="Q37" s="255"/>
      <c r="R37" s="255"/>
      <c r="S37" s="273"/>
    </row>
    <row r="38" spans="3:19" ht="7.5" customHeight="1">
      <c r="C38" s="59"/>
      <c r="D38" s="59"/>
      <c r="E38" s="59"/>
      <c r="F38" s="59"/>
      <c r="G38" s="59"/>
      <c r="H38" s="59"/>
      <c r="I38" s="59"/>
      <c r="J38" s="84"/>
      <c r="K38" s="272"/>
      <c r="L38" s="274"/>
      <c r="M38" s="274"/>
      <c r="N38" s="274"/>
      <c r="O38" s="274"/>
      <c r="P38" s="274"/>
      <c r="Q38" s="274"/>
      <c r="R38" s="274"/>
      <c r="S38" s="274"/>
    </row>
    <row r="39" spans="3:19" s="249" customFormat="1" ht="10.5" customHeight="1">
      <c r="C39" s="481" t="s">
        <v>249</v>
      </c>
      <c r="D39" s="481"/>
      <c r="E39" s="481"/>
      <c r="F39" s="481"/>
      <c r="G39" s="481"/>
      <c r="H39" s="481"/>
      <c r="I39" s="481"/>
      <c r="J39" s="250"/>
      <c r="K39" s="270">
        <f aca="true" t="shared" si="9" ref="K39:S39">SUM(K41:K57)</f>
        <v>315510</v>
      </c>
      <c r="L39" s="252">
        <f t="shared" si="9"/>
        <v>249117</v>
      </c>
      <c r="M39" s="271">
        <f t="shared" si="9"/>
        <v>55016</v>
      </c>
      <c r="N39" s="271">
        <f t="shared" si="9"/>
        <v>48838</v>
      </c>
      <c r="O39" s="271">
        <f t="shared" si="9"/>
        <v>6178</v>
      </c>
      <c r="P39" s="271">
        <f t="shared" si="9"/>
        <v>121409</v>
      </c>
      <c r="Q39" s="271">
        <f t="shared" si="9"/>
        <v>106443</v>
      </c>
      <c r="R39" s="271">
        <f t="shared" si="9"/>
        <v>14966</v>
      </c>
      <c r="S39" s="271">
        <f t="shared" si="9"/>
        <v>194101</v>
      </c>
    </row>
    <row r="40" spans="3:19" ht="7.5" customHeight="1">
      <c r="C40" s="59"/>
      <c r="D40" s="59"/>
      <c r="E40" s="59"/>
      <c r="F40" s="59"/>
      <c r="G40" s="59"/>
      <c r="H40" s="59"/>
      <c r="I40" s="59"/>
      <c r="J40" s="84"/>
      <c r="K40" s="272"/>
      <c r="L40" s="274"/>
      <c r="M40" s="274"/>
      <c r="N40" s="274"/>
      <c r="O40" s="274"/>
      <c r="P40" s="274"/>
      <c r="Q40" s="274"/>
      <c r="R40" s="274"/>
      <c r="S40" s="274"/>
    </row>
    <row r="41" spans="3:19" ht="10.5" customHeight="1">
      <c r="C41" s="484" t="s">
        <v>233</v>
      </c>
      <c r="D41" s="484"/>
      <c r="E41" s="484"/>
      <c r="F41" s="484"/>
      <c r="G41" s="484"/>
      <c r="H41" s="484"/>
      <c r="I41" s="484"/>
      <c r="J41" s="84"/>
      <c r="K41" s="272">
        <v>40797</v>
      </c>
      <c r="L41" s="273">
        <v>39862</v>
      </c>
      <c r="M41" s="255">
        <f aca="true" t="shared" si="10" ref="M41:M50">SUM(N41:O41)</f>
        <v>942</v>
      </c>
      <c r="N41" s="255">
        <v>0</v>
      </c>
      <c r="O41" s="255">
        <v>942</v>
      </c>
      <c r="P41" s="255">
        <f aca="true" t="shared" si="11" ref="P41:P50">SUM(Q41:R41)</f>
        <v>1877</v>
      </c>
      <c r="Q41" s="255">
        <v>0</v>
      </c>
      <c r="R41" s="255">
        <v>1877</v>
      </c>
      <c r="S41" s="273">
        <f aca="true" t="shared" si="12" ref="S41:S50">SUM(L41-M41)</f>
        <v>38920</v>
      </c>
    </row>
    <row r="42" spans="3:19" ht="10.5" customHeight="1">
      <c r="C42" s="484" t="s">
        <v>234</v>
      </c>
      <c r="D42" s="484"/>
      <c r="E42" s="484"/>
      <c r="F42" s="484"/>
      <c r="G42" s="484"/>
      <c r="H42" s="484"/>
      <c r="I42" s="484"/>
      <c r="J42" s="84"/>
      <c r="K42" s="272">
        <v>15201</v>
      </c>
      <c r="L42" s="273">
        <v>10777</v>
      </c>
      <c r="M42" s="255">
        <f t="shared" si="10"/>
        <v>3960</v>
      </c>
      <c r="N42" s="255">
        <v>397</v>
      </c>
      <c r="O42" s="255">
        <v>3563</v>
      </c>
      <c r="P42" s="255">
        <f t="shared" si="11"/>
        <v>8384</v>
      </c>
      <c r="Q42" s="255">
        <v>706</v>
      </c>
      <c r="R42" s="255">
        <v>7678</v>
      </c>
      <c r="S42" s="273">
        <f t="shared" si="12"/>
        <v>6817</v>
      </c>
    </row>
    <row r="43" spans="3:19" ht="10.5" customHeight="1">
      <c r="C43" s="484" t="s">
        <v>235</v>
      </c>
      <c r="D43" s="484"/>
      <c r="E43" s="484"/>
      <c r="F43" s="484"/>
      <c r="G43" s="484"/>
      <c r="H43" s="484"/>
      <c r="I43" s="484"/>
      <c r="J43" s="84"/>
      <c r="K43" s="272">
        <v>19506</v>
      </c>
      <c r="L43" s="273">
        <v>13635</v>
      </c>
      <c r="M43" s="255">
        <f t="shared" si="10"/>
        <v>4165</v>
      </c>
      <c r="N43" s="255">
        <v>2725</v>
      </c>
      <c r="O43" s="255">
        <v>1440</v>
      </c>
      <c r="P43" s="255">
        <f t="shared" si="11"/>
        <v>10036</v>
      </c>
      <c r="Q43" s="255">
        <v>5475</v>
      </c>
      <c r="R43" s="255">
        <v>4561</v>
      </c>
      <c r="S43" s="273">
        <f t="shared" si="12"/>
        <v>9470</v>
      </c>
    </row>
    <row r="44" spans="3:19" ht="10.5" customHeight="1">
      <c r="C44" s="484" t="s">
        <v>236</v>
      </c>
      <c r="D44" s="484"/>
      <c r="E44" s="484"/>
      <c r="F44" s="484"/>
      <c r="G44" s="484"/>
      <c r="H44" s="484"/>
      <c r="I44" s="484"/>
      <c r="J44" s="84"/>
      <c r="K44" s="272">
        <v>21351</v>
      </c>
      <c r="L44" s="273">
        <v>15421</v>
      </c>
      <c r="M44" s="255">
        <f t="shared" si="10"/>
        <v>5048</v>
      </c>
      <c r="N44" s="255">
        <v>4895</v>
      </c>
      <c r="O44" s="255">
        <v>153</v>
      </c>
      <c r="P44" s="255">
        <f t="shared" si="11"/>
        <v>10978</v>
      </c>
      <c r="Q44" s="255">
        <v>10410</v>
      </c>
      <c r="R44" s="255">
        <v>568</v>
      </c>
      <c r="S44" s="273">
        <f t="shared" si="12"/>
        <v>10373</v>
      </c>
    </row>
    <row r="45" spans="3:19" ht="10.5" customHeight="1">
      <c r="C45" s="484" t="s">
        <v>237</v>
      </c>
      <c r="D45" s="484"/>
      <c r="E45" s="484"/>
      <c r="F45" s="484"/>
      <c r="G45" s="484"/>
      <c r="H45" s="484"/>
      <c r="I45" s="484"/>
      <c r="J45" s="84"/>
      <c r="K45" s="272">
        <v>25733</v>
      </c>
      <c r="L45" s="273">
        <v>18261</v>
      </c>
      <c r="M45" s="255">
        <f t="shared" si="10"/>
        <v>6719</v>
      </c>
      <c r="N45" s="255">
        <v>6669</v>
      </c>
      <c r="O45" s="255">
        <v>50</v>
      </c>
      <c r="P45" s="255">
        <f t="shared" si="11"/>
        <v>14191</v>
      </c>
      <c r="Q45" s="255">
        <v>14049</v>
      </c>
      <c r="R45" s="255">
        <v>142</v>
      </c>
      <c r="S45" s="273">
        <f t="shared" si="12"/>
        <v>11542</v>
      </c>
    </row>
    <row r="46" spans="3:19" ht="10.5" customHeight="1">
      <c r="C46" s="484" t="s">
        <v>238</v>
      </c>
      <c r="D46" s="484"/>
      <c r="E46" s="484"/>
      <c r="F46" s="484"/>
      <c r="G46" s="484"/>
      <c r="H46" s="484"/>
      <c r="I46" s="484"/>
      <c r="J46" s="84"/>
      <c r="K46" s="272">
        <v>26183</v>
      </c>
      <c r="L46" s="274">
        <v>17273</v>
      </c>
      <c r="M46" s="255">
        <f t="shared" si="10"/>
        <v>5993</v>
      </c>
      <c r="N46" s="274">
        <v>5979</v>
      </c>
      <c r="O46" s="274">
        <v>14</v>
      </c>
      <c r="P46" s="255">
        <f t="shared" si="11"/>
        <v>14903</v>
      </c>
      <c r="Q46" s="274">
        <v>14840</v>
      </c>
      <c r="R46" s="274">
        <v>63</v>
      </c>
      <c r="S46" s="273">
        <f t="shared" si="12"/>
        <v>11280</v>
      </c>
    </row>
    <row r="47" spans="3:19" ht="10.5" customHeight="1">
      <c r="C47" s="484" t="s">
        <v>239</v>
      </c>
      <c r="D47" s="484"/>
      <c r="E47" s="484"/>
      <c r="F47" s="484"/>
      <c r="G47" s="484"/>
      <c r="H47" s="484"/>
      <c r="I47" s="484"/>
      <c r="J47" s="84"/>
      <c r="K47" s="272">
        <v>24232</v>
      </c>
      <c r="L47" s="274">
        <v>15673</v>
      </c>
      <c r="M47" s="255">
        <f t="shared" si="10"/>
        <v>5412</v>
      </c>
      <c r="N47" s="274">
        <v>5407</v>
      </c>
      <c r="O47" s="274">
        <v>5</v>
      </c>
      <c r="P47" s="255">
        <f t="shared" si="11"/>
        <v>13971</v>
      </c>
      <c r="Q47" s="274">
        <v>13944</v>
      </c>
      <c r="R47" s="274">
        <v>27</v>
      </c>
      <c r="S47" s="273">
        <f t="shared" si="12"/>
        <v>10261</v>
      </c>
    </row>
    <row r="48" spans="3:19" ht="10.5" customHeight="1">
      <c r="C48" s="484" t="s">
        <v>240</v>
      </c>
      <c r="D48" s="484"/>
      <c r="E48" s="484"/>
      <c r="F48" s="484"/>
      <c r="G48" s="484"/>
      <c r="H48" s="484"/>
      <c r="I48" s="484"/>
      <c r="J48" s="84"/>
      <c r="K48" s="272">
        <v>20563</v>
      </c>
      <c r="L48" s="274">
        <v>13565</v>
      </c>
      <c r="M48" s="255">
        <f t="shared" si="10"/>
        <v>4725</v>
      </c>
      <c r="N48" s="274">
        <v>4720</v>
      </c>
      <c r="O48" s="274">
        <v>5</v>
      </c>
      <c r="P48" s="255">
        <f t="shared" si="11"/>
        <v>11723</v>
      </c>
      <c r="Q48" s="274">
        <v>11712</v>
      </c>
      <c r="R48" s="274">
        <v>11</v>
      </c>
      <c r="S48" s="273">
        <f t="shared" si="12"/>
        <v>8840</v>
      </c>
    </row>
    <row r="49" spans="3:19" ht="10.5" customHeight="1">
      <c r="C49" s="484" t="s">
        <v>241</v>
      </c>
      <c r="D49" s="484"/>
      <c r="E49" s="484"/>
      <c r="F49" s="484"/>
      <c r="G49" s="484"/>
      <c r="H49" s="484"/>
      <c r="I49" s="484"/>
      <c r="J49" s="84"/>
      <c r="K49" s="272">
        <v>19799</v>
      </c>
      <c r="L49" s="274">
        <v>14252</v>
      </c>
      <c r="M49" s="255">
        <f t="shared" si="10"/>
        <v>5205</v>
      </c>
      <c r="N49" s="274">
        <v>5204</v>
      </c>
      <c r="O49" s="274">
        <v>1</v>
      </c>
      <c r="P49" s="255">
        <f t="shared" si="11"/>
        <v>10752</v>
      </c>
      <c r="Q49" s="274">
        <v>10740</v>
      </c>
      <c r="R49" s="274">
        <v>12</v>
      </c>
      <c r="S49" s="273">
        <f t="shared" si="12"/>
        <v>9047</v>
      </c>
    </row>
    <row r="50" spans="3:19" ht="10.5" customHeight="1">
      <c r="C50" s="484" t="s">
        <v>242</v>
      </c>
      <c r="D50" s="484"/>
      <c r="E50" s="484"/>
      <c r="F50" s="484"/>
      <c r="G50" s="484"/>
      <c r="H50" s="484"/>
      <c r="I50" s="484"/>
      <c r="J50" s="84"/>
      <c r="K50" s="272">
        <v>23313</v>
      </c>
      <c r="L50" s="274">
        <v>17959</v>
      </c>
      <c r="M50" s="255">
        <f t="shared" si="10"/>
        <v>5918</v>
      </c>
      <c r="N50" s="274">
        <v>5915</v>
      </c>
      <c r="O50" s="274">
        <v>3</v>
      </c>
      <c r="P50" s="255">
        <f t="shared" si="11"/>
        <v>11272</v>
      </c>
      <c r="Q50" s="274">
        <v>11262</v>
      </c>
      <c r="R50" s="274">
        <v>10</v>
      </c>
      <c r="S50" s="273">
        <f t="shared" si="12"/>
        <v>12041</v>
      </c>
    </row>
    <row r="51" spans="3:19" ht="7.5" customHeight="1">
      <c r="C51" s="59"/>
      <c r="D51" s="59"/>
      <c r="E51" s="59"/>
      <c r="F51" s="59"/>
      <c r="G51" s="59"/>
      <c r="H51" s="59"/>
      <c r="I51" s="59"/>
      <c r="J51" s="84"/>
      <c r="K51" s="272"/>
      <c r="L51" s="274"/>
      <c r="M51" s="274"/>
      <c r="N51" s="274"/>
      <c r="O51" s="274"/>
      <c r="P51" s="274"/>
      <c r="Q51" s="274"/>
      <c r="R51" s="274"/>
      <c r="S51" s="273"/>
    </row>
    <row r="52" spans="3:19" ht="10.5" customHeight="1">
      <c r="C52" s="484" t="s">
        <v>243</v>
      </c>
      <c r="D52" s="484"/>
      <c r="E52" s="484"/>
      <c r="F52" s="484"/>
      <c r="G52" s="484"/>
      <c r="H52" s="484"/>
      <c r="I52" s="484"/>
      <c r="J52" s="84"/>
      <c r="K52" s="272">
        <v>20082</v>
      </c>
      <c r="L52" s="274">
        <v>17268</v>
      </c>
      <c r="M52" s="255">
        <f aca="true" t="shared" si="13" ref="M52:M57">SUM(N52:O52)</f>
        <v>3953</v>
      </c>
      <c r="N52" s="274">
        <v>3953</v>
      </c>
      <c r="O52" s="274">
        <v>0</v>
      </c>
      <c r="P52" s="255">
        <f aca="true" t="shared" si="14" ref="P52:P57">SUM(Q52:R52)</f>
        <v>6767</v>
      </c>
      <c r="Q52" s="274">
        <v>6760</v>
      </c>
      <c r="R52" s="274">
        <v>7</v>
      </c>
      <c r="S52" s="273">
        <f aca="true" t="shared" si="15" ref="S52:S57">SUM(L52-M52)</f>
        <v>13315</v>
      </c>
    </row>
    <row r="53" spans="3:19" ht="10.5" customHeight="1">
      <c r="C53" s="484" t="s">
        <v>244</v>
      </c>
      <c r="D53" s="484"/>
      <c r="E53" s="484"/>
      <c r="F53" s="484"/>
      <c r="G53" s="484"/>
      <c r="H53" s="484"/>
      <c r="I53" s="484"/>
      <c r="J53" s="84"/>
      <c r="K53" s="272">
        <v>18448</v>
      </c>
      <c r="L53" s="273">
        <v>16725</v>
      </c>
      <c r="M53" s="255">
        <f t="shared" si="13"/>
        <v>1928</v>
      </c>
      <c r="N53" s="255">
        <f>547+453+926</f>
        <v>1926</v>
      </c>
      <c r="O53" s="255">
        <f>547+453+928-N53</f>
        <v>2</v>
      </c>
      <c r="P53" s="255">
        <f t="shared" si="14"/>
        <v>3651</v>
      </c>
      <c r="Q53" s="255">
        <f>2800+278+568</f>
        <v>3646</v>
      </c>
      <c r="R53" s="255">
        <f>2805+278+568-Q53</f>
        <v>5</v>
      </c>
      <c r="S53" s="273">
        <f t="shared" si="15"/>
        <v>14797</v>
      </c>
    </row>
    <row r="54" spans="3:19" ht="10.5" customHeight="1">
      <c r="C54" s="484" t="s">
        <v>245</v>
      </c>
      <c r="D54" s="484"/>
      <c r="E54" s="484"/>
      <c r="F54" s="484"/>
      <c r="G54" s="484"/>
      <c r="H54" s="484"/>
      <c r="I54" s="484"/>
      <c r="J54" s="84"/>
      <c r="K54" s="272">
        <v>17107</v>
      </c>
      <c r="L54" s="273">
        <v>16028</v>
      </c>
      <c r="M54" s="255">
        <f t="shared" si="13"/>
        <v>770</v>
      </c>
      <c r="N54" s="255">
        <f>256+182+332</f>
        <v>770</v>
      </c>
      <c r="O54" s="255">
        <v>0</v>
      </c>
      <c r="P54" s="255">
        <f t="shared" si="14"/>
        <v>1849</v>
      </c>
      <c r="Q54" s="255">
        <f>1429+124+293</f>
        <v>1846</v>
      </c>
      <c r="R54" s="255">
        <f>1431+125+293-Q54</f>
        <v>3</v>
      </c>
      <c r="S54" s="273">
        <f t="shared" si="15"/>
        <v>15258</v>
      </c>
    </row>
    <row r="55" spans="3:19" ht="10.5" customHeight="1">
      <c r="C55" s="484" t="s">
        <v>246</v>
      </c>
      <c r="D55" s="484"/>
      <c r="E55" s="484"/>
      <c r="F55" s="484"/>
      <c r="G55" s="484"/>
      <c r="H55" s="484"/>
      <c r="I55" s="484"/>
      <c r="J55" s="84"/>
      <c r="K55" s="272">
        <v>12256</v>
      </c>
      <c r="L55" s="273">
        <v>11745</v>
      </c>
      <c r="M55" s="255">
        <f t="shared" si="13"/>
        <v>201</v>
      </c>
      <c r="N55" s="255">
        <f>88+57+56</f>
        <v>201</v>
      </c>
      <c r="O55" s="255">
        <v>0</v>
      </c>
      <c r="P55" s="255">
        <f t="shared" si="14"/>
        <v>712</v>
      </c>
      <c r="Q55" s="255">
        <f>555+38+118</f>
        <v>711</v>
      </c>
      <c r="R55" s="255">
        <f>556+38+118-Q55</f>
        <v>1</v>
      </c>
      <c r="S55" s="273">
        <f t="shared" si="15"/>
        <v>11544</v>
      </c>
    </row>
    <row r="56" spans="3:19" ht="10.5" customHeight="1">
      <c r="C56" s="484" t="s">
        <v>247</v>
      </c>
      <c r="D56" s="484"/>
      <c r="E56" s="484"/>
      <c r="F56" s="484"/>
      <c r="G56" s="484"/>
      <c r="H56" s="484"/>
      <c r="I56" s="484"/>
      <c r="J56" s="84"/>
      <c r="K56" s="272">
        <v>6688</v>
      </c>
      <c r="L56" s="273">
        <v>6477</v>
      </c>
      <c r="M56" s="255">
        <f t="shared" si="13"/>
        <v>58</v>
      </c>
      <c r="N56" s="255">
        <f>21+11+26</f>
        <v>58</v>
      </c>
      <c r="O56" s="255">
        <v>0</v>
      </c>
      <c r="P56" s="255">
        <f t="shared" si="14"/>
        <v>269</v>
      </c>
      <c r="Q56" s="255">
        <f>211+13+44</f>
        <v>268</v>
      </c>
      <c r="R56" s="255">
        <f>212+13+44-Q56</f>
        <v>1</v>
      </c>
      <c r="S56" s="273">
        <f t="shared" si="15"/>
        <v>6419</v>
      </c>
    </row>
    <row r="57" spans="2:19" ht="10.5" customHeight="1">
      <c r="B57" s="84"/>
      <c r="C57" s="484" t="s">
        <v>248</v>
      </c>
      <c r="D57" s="484"/>
      <c r="E57" s="484"/>
      <c r="F57" s="484"/>
      <c r="G57" s="484"/>
      <c r="H57" s="484"/>
      <c r="I57" s="484"/>
      <c r="J57" s="84"/>
      <c r="K57" s="272">
        <v>4251</v>
      </c>
      <c r="L57" s="273">
        <v>4196</v>
      </c>
      <c r="M57" s="255">
        <f t="shared" si="13"/>
        <v>19</v>
      </c>
      <c r="N57" s="255">
        <f>11+5+3</f>
        <v>19</v>
      </c>
      <c r="O57" s="255">
        <v>0</v>
      </c>
      <c r="P57" s="255">
        <f t="shared" si="14"/>
        <v>74</v>
      </c>
      <c r="Q57" s="255">
        <f>66+2+6</f>
        <v>74</v>
      </c>
      <c r="R57" s="255">
        <v>0</v>
      </c>
      <c r="S57" s="273">
        <f t="shared" si="15"/>
        <v>4177</v>
      </c>
    </row>
    <row r="58" spans="2:19" ht="7.5" customHeight="1">
      <c r="B58" s="84"/>
      <c r="C58" s="59"/>
      <c r="D58" s="59"/>
      <c r="E58" s="59"/>
      <c r="F58" s="59"/>
      <c r="G58" s="59"/>
      <c r="H58" s="59"/>
      <c r="I58" s="59"/>
      <c r="J58" s="84"/>
      <c r="K58" s="272"/>
      <c r="L58" s="273"/>
      <c r="M58" s="255"/>
      <c r="N58" s="255"/>
      <c r="O58" s="255"/>
      <c r="P58" s="255"/>
      <c r="Q58" s="255"/>
      <c r="R58" s="255"/>
      <c r="S58" s="273"/>
    </row>
    <row r="59" spans="2:19" ht="7.5" customHeight="1">
      <c r="B59" s="84"/>
      <c r="C59" s="59"/>
      <c r="D59" s="59"/>
      <c r="E59" s="59"/>
      <c r="F59" s="59"/>
      <c r="G59" s="59"/>
      <c r="H59" s="59"/>
      <c r="I59" s="59"/>
      <c r="J59" s="84"/>
      <c r="K59" s="269"/>
      <c r="L59" s="259"/>
      <c r="M59" s="259"/>
      <c r="N59" s="259"/>
      <c r="O59" s="259"/>
      <c r="P59" s="259"/>
      <c r="Q59" s="259"/>
      <c r="R59" s="259"/>
      <c r="S59" s="259"/>
    </row>
    <row r="60" spans="2:19" s="249" customFormat="1" ht="10.5" customHeight="1">
      <c r="B60" s="250"/>
      <c r="C60" s="481" t="s">
        <v>250</v>
      </c>
      <c r="D60" s="481"/>
      <c r="E60" s="481"/>
      <c r="F60" s="481"/>
      <c r="G60" s="481"/>
      <c r="H60" s="481"/>
      <c r="I60" s="481"/>
      <c r="J60" s="250"/>
      <c r="K60" s="270">
        <f aca="true" t="shared" si="16" ref="K60:S60">SUM(K62:K78)</f>
        <v>328177</v>
      </c>
      <c r="L60" s="252">
        <f t="shared" si="16"/>
        <v>281511</v>
      </c>
      <c r="M60" s="275">
        <f t="shared" si="16"/>
        <v>28269</v>
      </c>
      <c r="N60" s="275">
        <f t="shared" si="16"/>
        <v>22791</v>
      </c>
      <c r="O60" s="275">
        <f t="shared" si="16"/>
        <v>5478</v>
      </c>
      <c r="P60" s="275">
        <f t="shared" si="16"/>
        <v>74935</v>
      </c>
      <c r="Q60" s="275">
        <f t="shared" si="16"/>
        <v>61089</v>
      </c>
      <c r="R60" s="275">
        <f t="shared" si="16"/>
        <v>13846</v>
      </c>
      <c r="S60" s="275">
        <f t="shared" si="16"/>
        <v>253242</v>
      </c>
    </row>
    <row r="61" spans="3:19" ht="7.5" customHeight="1">
      <c r="C61" s="59"/>
      <c r="D61" s="59"/>
      <c r="E61" s="59"/>
      <c r="F61" s="59"/>
      <c r="G61" s="59"/>
      <c r="H61" s="59"/>
      <c r="I61" s="59"/>
      <c r="J61" s="84"/>
      <c r="K61" s="272"/>
      <c r="L61" s="274"/>
      <c r="M61" s="274"/>
      <c r="N61" s="274"/>
      <c r="O61" s="274"/>
      <c r="P61" s="274"/>
      <c r="Q61" s="274"/>
      <c r="R61" s="274"/>
      <c r="S61" s="274"/>
    </row>
    <row r="62" spans="3:19" ht="10.5" customHeight="1">
      <c r="C62" s="484" t="s">
        <v>233</v>
      </c>
      <c r="D62" s="484"/>
      <c r="E62" s="484"/>
      <c r="F62" s="484"/>
      <c r="G62" s="484"/>
      <c r="H62" s="484"/>
      <c r="I62" s="484"/>
      <c r="J62" s="84"/>
      <c r="K62" s="272">
        <v>39209</v>
      </c>
      <c r="L62" s="273">
        <v>38137</v>
      </c>
      <c r="M62" s="255">
        <f aca="true" t="shared" si="17" ref="M62:M71">SUM(N62:O62)</f>
        <v>1011</v>
      </c>
      <c r="N62" s="255">
        <v>0</v>
      </c>
      <c r="O62" s="255">
        <v>1011</v>
      </c>
      <c r="P62" s="255">
        <f aca="true" t="shared" si="18" ref="P62:P71">SUM(Q62:R62)</f>
        <v>2083</v>
      </c>
      <c r="Q62" s="255">
        <v>0</v>
      </c>
      <c r="R62" s="255">
        <v>2083</v>
      </c>
      <c r="S62" s="273">
        <f aca="true" t="shared" si="19" ref="S62:S71">SUM(L62-M62)</f>
        <v>37126</v>
      </c>
    </row>
    <row r="63" spans="3:19" ht="10.5" customHeight="1">
      <c r="C63" s="484" t="s">
        <v>234</v>
      </c>
      <c r="D63" s="484"/>
      <c r="E63" s="484"/>
      <c r="F63" s="484"/>
      <c r="G63" s="484"/>
      <c r="H63" s="484"/>
      <c r="I63" s="484"/>
      <c r="J63" s="84"/>
      <c r="K63" s="272">
        <v>14776</v>
      </c>
      <c r="L63" s="273">
        <v>9316</v>
      </c>
      <c r="M63" s="255">
        <f t="shared" si="17"/>
        <v>2962</v>
      </c>
      <c r="N63" s="255">
        <v>371</v>
      </c>
      <c r="O63" s="255">
        <v>2591</v>
      </c>
      <c r="P63" s="255">
        <f t="shared" si="18"/>
        <v>8422</v>
      </c>
      <c r="Q63" s="255">
        <v>815</v>
      </c>
      <c r="R63" s="255">
        <v>7607</v>
      </c>
      <c r="S63" s="273">
        <f t="shared" si="19"/>
        <v>6354</v>
      </c>
    </row>
    <row r="64" spans="3:19" ht="10.5" customHeight="1">
      <c r="C64" s="484" t="s">
        <v>235</v>
      </c>
      <c r="D64" s="484"/>
      <c r="E64" s="484"/>
      <c r="F64" s="484"/>
      <c r="G64" s="484"/>
      <c r="H64" s="484"/>
      <c r="I64" s="484"/>
      <c r="J64" s="84"/>
      <c r="K64" s="272">
        <v>18867</v>
      </c>
      <c r="L64" s="273">
        <v>13144</v>
      </c>
      <c r="M64" s="255">
        <f t="shared" si="17"/>
        <v>4525</v>
      </c>
      <c r="N64" s="255">
        <v>2808</v>
      </c>
      <c r="O64" s="255">
        <v>1717</v>
      </c>
      <c r="P64" s="255">
        <f t="shared" si="18"/>
        <v>10248</v>
      </c>
      <c r="Q64" s="255">
        <v>6709</v>
      </c>
      <c r="R64" s="255">
        <v>3539</v>
      </c>
      <c r="S64" s="273">
        <f t="shared" si="19"/>
        <v>8619</v>
      </c>
    </row>
    <row r="65" spans="3:19" ht="10.5" customHeight="1">
      <c r="C65" s="484" t="s">
        <v>236</v>
      </c>
      <c r="D65" s="484"/>
      <c r="E65" s="484"/>
      <c r="F65" s="484"/>
      <c r="G65" s="484"/>
      <c r="H65" s="484"/>
      <c r="I65" s="484"/>
      <c r="J65" s="84"/>
      <c r="K65" s="272">
        <v>21575</v>
      </c>
      <c r="L65" s="273">
        <v>14720</v>
      </c>
      <c r="M65" s="255">
        <f t="shared" si="17"/>
        <v>3436</v>
      </c>
      <c r="N65" s="255">
        <v>3330</v>
      </c>
      <c r="O65" s="255">
        <v>106</v>
      </c>
      <c r="P65" s="255">
        <f t="shared" si="18"/>
        <v>10291</v>
      </c>
      <c r="Q65" s="255">
        <v>9943</v>
      </c>
      <c r="R65" s="255">
        <v>348</v>
      </c>
      <c r="S65" s="273">
        <f t="shared" si="19"/>
        <v>11284</v>
      </c>
    </row>
    <row r="66" spans="3:19" ht="10.5" customHeight="1">
      <c r="C66" s="484" t="s">
        <v>237</v>
      </c>
      <c r="D66" s="484"/>
      <c r="E66" s="484"/>
      <c r="F66" s="484"/>
      <c r="G66" s="484"/>
      <c r="H66" s="484"/>
      <c r="I66" s="484"/>
      <c r="J66" s="84"/>
      <c r="K66" s="272">
        <v>26571</v>
      </c>
      <c r="L66" s="273">
        <v>19930</v>
      </c>
      <c r="M66" s="255">
        <f t="shared" si="17"/>
        <v>2948</v>
      </c>
      <c r="N66" s="255">
        <v>2923</v>
      </c>
      <c r="O66" s="255">
        <v>25</v>
      </c>
      <c r="P66" s="255">
        <f t="shared" si="18"/>
        <v>9589</v>
      </c>
      <c r="Q66" s="255">
        <v>9473</v>
      </c>
      <c r="R66" s="255">
        <v>116</v>
      </c>
      <c r="S66" s="273">
        <f t="shared" si="19"/>
        <v>16982</v>
      </c>
    </row>
    <row r="67" spans="3:19" ht="10.5" customHeight="1">
      <c r="C67" s="484" t="s">
        <v>238</v>
      </c>
      <c r="D67" s="484"/>
      <c r="E67" s="484"/>
      <c r="F67" s="484"/>
      <c r="G67" s="484"/>
      <c r="H67" s="484"/>
      <c r="I67" s="484"/>
      <c r="J67" s="84"/>
      <c r="K67" s="272">
        <v>26188</v>
      </c>
      <c r="L67" s="274">
        <v>21124</v>
      </c>
      <c r="M67" s="255">
        <f t="shared" si="17"/>
        <v>2297</v>
      </c>
      <c r="N67" s="274">
        <v>2287</v>
      </c>
      <c r="O67" s="274">
        <v>10</v>
      </c>
      <c r="P67" s="255">
        <f t="shared" si="18"/>
        <v>7361</v>
      </c>
      <c r="Q67" s="274">
        <v>7309</v>
      </c>
      <c r="R67" s="274">
        <v>52</v>
      </c>
      <c r="S67" s="273">
        <f t="shared" si="19"/>
        <v>18827</v>
      </c>
    </row>
    <row r="68" spans="3:19" ht="10.5" customHeight="1">
      <c r="C68" s="484" t="s">
        <v>239</v>
      </c>
      <c r="D68" s="484"/>
      <c r="E68" s="484"/>
      <c r="F68" s="484"/>
      <c r="G68" s="484"/>
      <c r="H68" s="484"/>
      <c r="I68" s="484"/>
      <c r="J68" s="84"/>
      <c r="K68" s="272">
        <v>23486</v>
      </c>
      <c r="L68" s="274">
        <v>19301</v>
      </c>
      <c r="M68" s="255">
        <f t="shared" si="17"/>
        <v>2296</v>
      </c>
      <c r="N68" s="274">
        <v>2286</v>
      </c>
      <c r="O68" s="274">
        <v>10</v>
      </c>
      <c r="P68" s="255">
        <f t="shared" si="18"/>
        <v>6481</v>
      </c>
      <c r="Q68" s="274">
        <v>6446</v>
      </c>
      <c r="R68" s="274">
        <v>35</v>
      </c>
      <c r="S68" s="273">
        <f t="shared" si="19"/>
        <v>17005</v>
      </c>
    </row>
    <row r="69" spans="3:19" ht="10.5" customHeight="1">
      <c r="C69" s="484" t="s">
        <v>240</v>
      </c>
      <c r="D69" s="484"/>
      <c r="E69" s="484"/>
      <c r="F69" s="484"/>
      <c r="G69" s="484"/>
      <c r="H69" s="484"/>
      <c r="I69" s="484"/>
      <c r="J69" s="84"/>
      <c r="K69" s="272">
        <v>19989</v>
      </c>
      <c r="L69" s="274">
        <v>16588</v>
      </c>
      <c r="M69" s="255">
        <f t="shared" si="17"/>
        <v>2126</v>
      </c>
      <c r="N69" s="274">
        <v>2123</v>
      </c>
      <c r="O69" s="274">
        <v>3</v>
      </c>
      <c r="P69" s="255">
        <f t="shared" si="18"/>
        <v>5527</v>
      </c>
      <c r="Q69" s="274">
        <v>5503</v>
      </c>
      <c r="R69" s="274">
        <v>24</v>
      </c>
      <c r="S69" s="273">
        <f t="shared" si="19"/>
        <v>14462</v>
      </c>
    </row>
    <row r="70" spans="3:19" ht="10.5" customHeight="1">
      <c r="C70" s="484" t="s">
        <v>241</v>
      </c>
      <c r="D70" s="484"/>
      <c r="E70" s="484"/>
      <c r="F70" s="484"/>
      <c r="G70" s="484"/>
      <c r="H70" s="484"/>
      <c r="I70" s="484"/>
      <c r="J70" s="84"/>
      <c r="K70" s="272">
        <v>19585</v>
      </c>
      <c r="L70" s="274">
        <v>16970</v>
      </c>
      <c r="M70" s="255">
        <f t="shared" si="17"/>
        <v>2190</v>
      </c>
      <c r="N70" s="274">
        <v>2186</v>
      </c>
      <c r="O70" s="274">
        <v>4</v>
      </c>
      <c r="P70" s="255">
        <f t="shared" si="18"/>
        <v>4805</v>
      </c>
      <c r="Q70" s="274">
        <v>4787</v>
      </c>
      <c r="R70" s="274">
        <v>18</v>
      </c>
      <c r="S70" s="273">
        <f t="shared" si="19"/>
        <v>14780</v>
      </c>
    </row>
    <row r="71" spans="3:19" ht="10.5" customHeight="1">
      <c r="C71" s="484" t="s">
        <v>242</v>
      </c>
      <c r="D71" s="484"/>
      <c r="E71" s="484"/>
      <c r="F71" s="484"/>
      <c r="G71" s="484"/>
      <c r="H71" s="484"/>
      <c r="I71" s="484"/>
      <c r="J71" s="84"/>
      <c r="K71" s="272">
        <v>23680</v>
      </c>
      <c r="L71" s="274">
        <v>21004</v>
      </c>
      <c r="M71" s="255">
        <f t="shared" si="17"/>
        <v>2332</v>
      </c>
      <c r="N71" s="274">
        <v>2332</v>
      </c>
      <c r="O71" s="274">
        <v>0</v>
      </c>
      <c r="P71" s="255">
        <f t="shared" si="18"/>
        <v>5008</v>
      </c>
      <c r="Q71" s="274">
        <v>4995</v>
      </c>
      <c r="R71" s="274">
        <v>13</v>
      </c>
      <c r="S71" s="273">
        <f t="shared" si="19"/>
        <v>18672</v>
      </c>
    </row>
    <row r="72" spans="3:19" ht="7.5" customHeight="1">
      <c r="C72" s="59"/>
      <c r="D72" s="59"/>
      <c r="E72" s="59"/>
      <c r="F72" s="59"/>
      <c r="G72" s="59"/>
      <c r="H72" s="59"/>
      <c r="I72" s="59"/>
      <c r="J72" s="84"/>
      <c r="K72" s="272"/>
      <c r="L72" s="274"/>
      <c r="M72" s="274"/>
      <c r="N72" s="274"/>
      <c r="O72" s="274"/>
      <c r="P72" s="274"/>
      <c r="Q72" s="274"/>
      <c r="R72" s="274"/>
      <c r="S72" s="273"/>
    </row>
    <row r="73" spans="3:19" ht="10.5" customHeight="1">
      <c r="C73" s="484" t="s">
        <v>243</v>
      </c>
      <c r="D73" s="484"/>
      <c r="E73" s="484"/>
      <c r="F73" s="484"/>
      <c r="G73" s="484"/>
      <c r="H73" s="484"/>
      <c r="I73" s="484"/>
      <c r="J73" s="84"/>
      <c r="K73" s="272">
        <v>22246</v>
      </c>
      <c r="L73" s="274">
        <v>20753</v>
      </c>
      <c r="M73" s="255">
        <f aca="true" t="shared" si="20" ref="M73:M78">SUM(N73:O73)</f>
        <v>1328</v>
      </c>
      <c r="N73" s="274">
        <v>1328</v>
      </c>
      <c r="O73" s="274">
        <v>0</v>
      </c>
      <c r="P73" s="255">
        <f aca="true" t="shared" si="21" ref="P73:P78">SUM(Q73:R73)</f>
        <v>2821</v>
      </c>
      <c r="Q73" s="274">
        <v>2817</v>
      </c>
      <c r="R73" s="274">
        <v>4</v>
      </c>
      <c r="S73" s="273">
        <f aca="true" t="shared" si="22" ref="S73:S78">SUM(L73-M73)</f>
        <v>19425</v>
      </c>
    </row>
    <row r="74" spans="3:19" ht="10.5" customHeight="1">
      <c r="C74" s="484" t="s">
        <v>244</v>
      </c>
      <c r="D74" s="484"/>
      <c r="E74" s="484"/>
      <c r="F74" s="484"/>
      <c r="G74" s="484"/>
      <c r="H74" s="484"/>
      <c r="I74" s="484"/>
      <c r="J74" s="84"/>
      <c r="K74" s="272">
        <v>21255</v>
      </c>
      <c r="L74" s="273">
        <v>20387</v>
      </c>
      <c r="M74" s="255">
        <f t="shared" si="20"/>
        <v>530</v>
      </c>
      <c r="N74" s="255">
        <f>221+138+171</f>
        <v>530</v>
      </c>
      <c r="O74" s="255">
        <f>221+138+171-N74</f>
        <v>0</v>
      </c>
      <c r="P74" s="255">
        <f t="shared" si="21"/>
        <v>1398</v>
      </c>
      <c r="Q74" s="255">
        <f>1168+114+115</f>
        <v>1397</v>
      </c>
      <c r="R74" s="255">
        <f>1168+115+115-Q74</f>
        <v>1</v>
      </c>
      <c r="S74" s="273">
        <f t="shared" si="22"/>
        <v>19857</v>
      </c>
    </row>
    <row r="75" spans="3:19" ht="10.5" customHeight="1">
      <c r="C75" s="484" t="s">
        <v>245</v>
      </c>
      <c r="D75" s="484"/>
      <c r="E75" s="484"/>
      <c r="F75" s="484"/>
      <c r="G75" s="484"/>
      <c r="H75" s="484"/>
      <c r="I75" s="484"/>
      <c r="J75" s="84"/>
      <c r="K75" s="272">
        <v>19255</v>
      </c>
      <c r="L75" s="273">
        <v>18830</v>
      </c>
      <c r="M75" s="255">
        <f t="shared" si="20"/>
        <v>196</v>
      </c>
      <c r="N75" s="255">
        <f>96+55+44</f>
        <v>195</v>
      </c>
      <c r="O75" s="255">
        <f>96+55+45-N75</f>
        <v>1</v>
      </c>
      <c r="P75" s="255">
        <f t="shared" si="21"/>
        <v>621</v>
      </c>
      <c r="Q75" s="255">
        <f>507+51+61</f>
        <v>619</v>
      </c>
      <c r="R75" s="255">
        <f>508+52+61-Q75</f>
        <v>2</v>
      </c>
      <c r="S75" s="273">
        <f t="shared" si="22"/>
        <v>18634</v>
      </c>
    </row>
    <row r="76" spans="3:19" ht="10.5" customHeight="1">
      <c r="C76" s="484" t="s">
        <v>246</v>
      </c>
      <c r="D76" s="484"/>
      <c r="E76" s="484"/>
      <c r="F76" s="484"/>
      <c r="G76" s="484"/>
      <c r="H76" s="484"/>
      <c r="I76" s="484"/>
      <c r="J76" s="84"/>
      <c r="K76" s="272">
        <v>14513</v>
      </c>
      <c r="L76" s="273">
        <v>14382</v>
      </c>
      <c r="M76" s="255">
        <f t="shared" si="20"/>
        <v>70</v>
      </c>
      <c r="N76" s="255">
        <f>37+14+19</f>
        <v>70</v>
      </c>
      <c r="O76" s="255">
        <v>0</v>
      </c>
      <c r="P76" s="255">
        <f t="shared" si="21"/>
        <v>201</v>
      </c>
      <c r="Q76" s="255">
        <f>159+14+27</f>
        <v>200</v>
      </c>
      <c r="R76" s="255">
        <f>160+14+27-Q76</f>
        <v>1</v>
      </c>
      <c r="S76" s="273">
        <f t="shared" si="22"/>
        <v>14312</v>
      </c>
    </row>
    <row r="77" spans="3:19" ht="10.5" customHeight="1">
      <c r="C77" s="484" t="s">
        <v>247</v>
      </c>
      <c r="D77" s="484"/>
      <c r="E77" s="484"/>
      <c r="F77" s="484"/>
      <c r="G77" s="484"/>
      <c r="H77" s="484"/>
      <c r="I77" s="484"/>
      <c r="J77" s="84"/>
      <c r="K77" s="272">
        <v>9162</v>
      </c>
      <c r="L77" s="273">
        <v>9117</v>
      </c>
      <c r="M77" s="255">
        <f t="shared" si="20"/>
        <v>15</v>
      </c>
      <c r="N77" s="255">
        <f>7+2+6</f>
        <v>15</v>
      </c>
      <c r="O77" s="255">
        <v>0</v>
      </c>
      <c r="P77" s="255">
        <f t="shared" si="21"/>
        <v>60</v>
      </c>
      <c r="Q77" s="255">
        <f>48+7+4</f>
        <v>59</v>
      </c>
      <c r="R77" s="255">
        <f>49+7+4-Q77</f>
        <v>1</v>
      </c>
      <c r="S77" s="273">
        <f t="shared" si="22"/>
        <v>9102</v>
      </c>
    </row>
    <row r="78" spans="2:19" ht="10.5" customHeight="1">
      <c r="B78" s="84"/>
      <c r="C78" s="484" t="s">
        <v>248</v>
      </c>
      <c r="D78" s="484"/>
      <c r="E78" s="484"/>
      <c r="F78" s="484"/>
      <c r="G78" s="484"/>
      <c r="H78" s="484"/>
      <c r="I78" s="484"/>
      <c r="J78" s="84"/>
      <c r="K78" s="272">
        <v>7820</v>
      </c>
      <c r="L78" s="273">
        <v>7808</v>
      </c>
      <c r="M78" s="255">
        <f t="shared" si="20"/>
        <v>7</v>
      </c>
      <c r="N78" s="258">
        <f>3+2+2</f>
        <v>7</v>
      </c>
      <c r="O78" s="258">
        <v>0</v>
      </c>
      <c r="P78" s="255">
        <f t="shared" si="21"/>
        <v>19</v>
      </c>
      <c r="Q78" s="258">
        <f>14+1+2</f>
        <v>17</v>
      </c>
      <c r="R78" s="258">
        <f>16+1+2-Q78</f>
        <v>2</v>
      </c>
      <c r="S78" s="273">
        <f t="shared" si="22"/>
        <v>7801</v>
      </c>
    </row>
    <row r="79" spans="2:19" ht="10.5" customHeight="1">
      <c r="B79" s="261"/>
      <c r="C79" s="276"/>
      <c r="D79" s="276"/>
      <c r="E79" s="276"/>
      <c r="F79" s="276"/>
      <c r="G79" s="276"/>
      <c r="H79" s="276"/>
      <c r="I79" s="276"/>
      <c r="J79" s="261"/>
      <c r="K79" s="277"/>
      <c r="L79" s="261"/>
      <c r="M79" s="261"/>
      <c r="N79" s="261"/>
      <c r="O79" s="261"/>
      <c r="P79" s="261"/>
      <c r="Q79" s="261"/>
      <c r="R79" s="261"/>
      <c r="S79" s="261"/>
    </row>
    <row r="80" spans="3:19" ht="10.5" customHeight="1">
      <c r="C80" s="498" t="s">
        <v>251</v>
      </c>
      <c r="D80" s="498"/>
      <c r="E80" s="263" t="s">
        <v>252</v>
      </c>
      <c r="F80" s="496" t="s">
        <v>7</v>
      </c>
      <c r="G80" s="496"/>
      <c r="H80" s="338" t="s">
        <v>253</v>
      </c>
      <c r="I80" s="339"/>
      <c r="J80" s="278"/>
      <c r="L80" s="279"/>
      <c r="M80" s="279"/>
      <c r="N80" s="279"/>
      <c r="O80" s="279"/>
      <c r="P80" s="279"/>
      <c r="Q80" s="279"/>
      <c r="R80" s="279"/>
      <c r="S80" s="279"/>
    </row>
    <row r="81" spans="4:19" ht="10.5" customHeight="1">
      <c r="D81" s="244"/>
      <c r="F81" s="496" t="s">
        <v>254</v>
      </c>
      <c r="G81" s="496"/>
      <c r="H81" s="339" t="s">
        <v>255</v>
      </c>
      <c r="J81" s="278"/>
      <c r="L81" s="240"/>
      <c r="M81" s="240"/>
      <c r="N81" s="240"/>
      <c r="O81" s="240"/>
      <c r="P81" s="240"/>
      <c r="Q81" s="240"/>
      <c r="R81" s="240"/>
      <c r="S81" s="240"/>
    </row>
    <row r="82" spans="2:19" ht="10.5" customHeight="1">
      <c r="B82" s="497" t="s">
        <v>256</v>
      </c>
      <c r="C82" s="497"/>
      <c r="D82" s="497"/>
      <c r="E82" s="263" t="s">
        <v>257</v>
      </c>
      <c r="F82" s="339" t="s">
        <v>482</v>
      </c>
      <c r="G82" s="240"/>
      <c r="J82" s="240"/>
      <c r="K82" s="240"/>
      <c r="L82" s="240"/>
      <c r="M82" s="240"/>
      <c r="N82" s="240"/>
      <c r="O82" s="240"/>
      <c r="P82" s="240"/>
      <c r="Q82" s="240"/>
      <c r="R82" s="240"/>
      <c r="S82" s="240"/>
    </row>
    <row r="83" ht="12" customHeight="1"/>
    <row r="84" spans="10:14" ht="11.25">
      <c r="J84" s="84"/>
      <c r="K84" s="84"/>
      <c r="L84" s="84"/>
      <c r="M84" s="84"/>
      <c r="N84" s="84"/>
    </row>
  </sheetData>
  <sheetProtection/>
  <mergeCells count="80">
    <mergeCell ref="E14:G14"/>
    <mergeCell ref="B18:D18"/>
    <mergeCell ref="E18:G18"/>
    <mergeCell ref="H18:J18"/>
    <mergeCell ref="E17:G17"/>
    <mergeCell ref="H17:J17"/>
    <mergeCell ref="E15:G15"/>
    <mergeCell ref="B15:D15"/>
    <mergeCell ref="E9:G9"/>
    <mergeCell ref="E10:G10"/>
    <mergeCell ref="B17:D17"/>
    <mergeCell ref="C71:I71"/>
    <mergeCell ref="C67:I67"/>
    <mergeCell ref="C68:I68"/>
    <mergeCell ref="C69:I69"/>
    <mergeCell ref="C70:I70"/>
    <mergeCell ref="C26:I26"/>
    <mergeCell ref="E11:G11"/>
    <mergeCell ref="B3:S3"/>
    <mergeCell ref="L5:L6"/>
    <mergeCell ref="K5:K6"/>
    <mergeCell ref="S5:S6"/>
    <mergeCell ref="B5:J6"/>
    <mergeCell ref="B8:D8"/>
    <mergeCell ref="E8:G8"/>
    <mergeCell ref="H8:J8"/>
    <mergeCell ref="P5:R5"/>
    <mergeCell ref="M5:O5"/>
    <mergeCell ref="E12:G12"/>
    <mergeCell ref="E13:G13"/>
    <mergeCell ref="C31:I31"/>
    <mergeCell ref="C29:I29"/>
    <mergeCell ref="C28:I28"/>
    <mergeCell ref="E16:G16"/>
    <mergeCell ref="H15:J15"/>
    <mergeCell ref="C20:I20"/>
    <mergeCell ref="C27:I27"/>
    <mergeCell ref="C22:I22"/>
    <mergeCell ref="C21:I21"/>
    <mergeCell ref="C36:I36"/>
    <mergeCell ref="C35:I35"/>
    <mergeCell ref="C34:I34"/>
    <mergeCell ref="C33:I33"/>
    <mergeCell ref="C25:I25"/>
    <mergeCell ref="C24:I24"/>
    <mergeCell ref="C32:I32"/>
    <mergeCell ref="C50:I50"/>
    <mergeCell ref="C43:I43"/>
    <mergeCell ref="C42:I42"/>
    <mergeCell ref="C41:I41"/>
    <mergeCell ref="C48:I48"/>
    <mergeCell ref="C49:I49"/>
    <mergeCell ref="C39:I39"/>
    <mergeCell ref="C23:I23"/>
    <mergeCell ref="C55:I55"/>
    <mergeCell ref="C54:I54"/>
    <mergeCell ref="C53:I53"/>
    <mergeCell ref="C52:I52"/>
    <mergeCell ref="C45:I45"/>
    <mergeCell ref="C44:I44"/>
    <mergeCell ref="C46:I46"/>
    <mergeCell ref="C47:I47"/>
    <mergeCell ref="C64:I64"/>
    <mergeCell ref="C63:I63"/>
    <mergeCell ref="C57:I57"/>
    <mergeCell ref="C56:I56"/>
    <mergeCell ref="C62:I62"/>
    <mergeCell ref="C60:I60"/>
    <mergeCell ref="C66:I66"/>
    <mergeCell ref="C65:I65"/>
    <mergeCell ref="C74:I74"/>
    <mergeCell ref="C73:I73"/>
    <mergeCell ref="C77:I77"/>
    <mergeCell ref="C76:I76"/>
    <mergeCell ref="F81:G81"/>
    <mergeCell ref="B82:D82"/>
    <mergeCell ref="C80:D80"/>
    <mergeCell ref="F80:G80"/>
    <mergeCell ref="C78:I78"/>
    <mergeCell ref="C75:I7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BJ67"/>
  <sheetViews>
    <sheetView zoomScalePageLayoutView="0" workbookViewId="0" topLeftCell="A1">
      <selection activeCell="B3" sqref="B3:BI3"/>
    </sheetView>
  </sheetViews>
  <sheetFormatPr defaultColWidth="9.00390625" defaultRowHeight="13.5"/>
  <cols>
    <col min="1" max="62" width="1.625" style="241" customWidth="1"/>
    <col min="63" max="16384" width="9.00390625" style="241" customWidth="1"/>
  </cols>
  <sheetData>
    <row r="1" spans="1:62" ht="10.5" customHeight="1">
      <c r="A1" s="240"/>
      <c r="AY1" s="242"/>
      <c r="AZ1" s="242"/>
      <c r="BA1" s="242"/>
      <c r="BB1" s="242"/>
      <c r="BC1" s="242"/>
      <c r="BD1" s="242"/>
      <c r="BE1" s="242"/>
      <c r="BF1" s="242"/>
      <c r="BG1" s="242"/>
      <c r="BH1" s="280"/>
      <c r="BI1" s="265"/>
      <c r="BJ1" s="337" t="s">
        <v>493</v>
      </c>
    </row>
    <row r="2" ht="10.5" customHeight="1"/>
    <row r="3" spans="2:61" s="243" customFormat="1" ht="18" customHeight="1">
      <c r="B3" s="464" t="s">
        <v>407</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row>
    <row r="4" spans="2:61" ht="12.75" customHeight="1">
      <c r="B4" s="84"/>
      <c r="C4" s="84"/>
      <c r="D4" s="59"/>
      <c r="E4" s="59"/>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X4" s="84"/>
      <c r="AY4" s="84"/>
      <c r="AZ4" s="84"/>
      <c r="BA4" s="84"/>
      <c r="BB4" s="84"/>
      <c r="BC4" s="84"/>
      <c r="BD4" s="84"/>
      <c r="BE4" s="84"/>
      <c r="BF4" s="84"/>
      <c r="BG4" s="84"/>
      <c r="BH4" s="84"/>
      <c r="BI4" s="82" t="s">
        <v>483</v>
      </c>
    </row>
    <row r="5" spans="2:61" ht="19.5" customHeight="1">
      <c r="B5" s="519" t="s">
        <v>258</v>
      </c>
      <c r="C5" s="519"/>
      <c r="D5" s="519"/>
      <c r="E5" s="519"/>
      <c r="F5" s="519"/>
      <c r="G5" s="519"/>
      <c r="H5" s="519"/>
      <c r="I5" s="519"/>
      <c r="J5" s="519"/>
      <c r="K5" s="519"/>
      <c r="L5" s="519"/>
      <c r="M5" s="519"/>
      <c r="N5" s="519"/>
      <c r="O5" s="519"/>
      <c r="P5" s="519"/>
      <c r="Q5" s="519"/>
      <c r="R5" s="519"/>
      <c r="S5" s="519"/>
      <c r="T5" s="519"/>
      <c r="U5" s="517"/>
      <c r="V5" s="517" t="s">
        <v>219</v>
      </c>
      <c r="W5" s="504"/>
      <c r="X5" s="504"/>
      <c r="Y5" s="504"/>
      <c r="Z5" s="504"/>
      <c r="AA5" s="504"/>
      <c r="AB5" s="504"/>
      <c r="AC5" s="504"/>
      <c r="AD5" s="504" t="s">
        <v>259</v>
      </c>
      <c r="AE5" s="504"/>
      <c r="AF5" s="504"/>
      <c r="AG5" s="504"/>
      <c r="AH5" s="504"/>
      <c r="AI5" s="504"/>
      <c r="AJ5" s="504"/>
      <c r="AK5" s="504"/>
      <c r="AL5" s="504" t="s">
        <v>260</v>
      </c>
      <c r="AM5" s="504"/>
      <c r="AN5" s="504"/>
      <c r="AO5" s="504"/>
      <c r="AP5" s="504"/>
      <c r="AQ5" s="504"/>
      <c r="AR5" s="504"/>
      <c r="AS5" s="504"/>
      <c r="AT5" s="522" t="s">
        <v>468</v>
      </c>
      <c r="AU5" s="525"/>
      <c r="AV5" s="525"/>
      <c r="AW5" s="525"/>
      <c r="AX5" s="525"/>
      <c r="AY5" s="525"/>
      <c r="AZ5" s="525"/>
      <c r="BA5" s="526"/>
      <c r="BB5" s="521" t="s">
        <v>359</v>
      </c>
      <c r="BC5" s="521"/>
      <c r="BD5" s="521"/>
      <c r="BE5" s="521"/>
      <c r="BF5" s="521"/>
      <c r="BG5" s="521"/>
      <c r="BH5" s="521"/>
      <c r="BI5" s="522"/>
    </row>
    <row r="6" spans="2:61" ht="19.5" customHeight="1">
      <c r="B6" s="520"/>
      <c r="C6" s="520"/>
      <c r="D6" s="520"/>
      <c r="E6" s="520"/>
      <c r="F6" s="520"/>
      <c r="G6" s="520"/>
      <c r="H6" s="520"/>
      <c r="I6" s="520"/>
      <c r="J6" s="520"/>
      <c r="K6" s="520"/>
      <c r="L6" s="520"/>
      <c r="M6" s="520"/>
      <c r="N6" s="520"/>
      <c r="O6" s="520"/>
      <c r="P6" s="520"/>
      <c r="Q6" s="520"/>
      <c r="R6" s="520"/>
      <c r="S6" s="520"/>
      <c r="T6" s="520"/>
      <c r="U6" s="518"/>
      <c r="V6" s="518"/>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27"/>
      <c r="AU6" s="528"/>
      <c r="AV6" s="528"/>
      <c r="AW6" s="528"/>
      <c r="AX6" s="528"/>
      <c r="AY6" s="528"/>
      <c r="AZ6" s="528"/>
      <c r="BA6" s="529"/>
      <c r="BB6" s="523"/>
      <c r="BC6" s="523"/>
      <c r="BD6" s="523"/>
      <c r="BE6" s="523"/>
      <c r="BF6" s="523"/>
      <c r="BG6" s="523"/>
      <c r="BH6" s="523"/>
      <c r="BI6" s="524"/>
    </row>
    <row r="7" spans="2:21" ht="12.75" customHeight="1">
      <c r="B7" s="84"/>
      <c r="C7" s="59"/>
      <c r="D7" s="59"/>
      <c r="E7" s="59"/>
      <c r="F7" s="59"/>
      <c r="G7" s="59"/>
      <c r="H7" s="59"/>
      <c r="I7" s="59"/>
      <c r="J7" s="59"/>
      <c r="K7" s="59"/>
      <c r="L7" s="59"/>
      <c r="M7" s="59"/>
      <c r="N7" s="59"/>
      <c r="O7" s="59"/>
      <c r="P7" s="59"/>
      <c r="Q7" s="59"/>
      <c r="R7" s="59"/>
      <c r="S7" s="59"/>
      <c r="T7" s="59"/>
      <c r="U7" s="248"/>
    </row>
    <row r="8" spans="2:61" s="249" customFormat="1" ht="12.75" customHeight="1">
      <c r="B8" s="250"/>
      <c r="C8" s="481" t="s">
        <v>181</v>
      </c>
      <c r="D8" s="481"/>
      <c r="E8" s="481"/>
      <c r="F8" s="481"/>
      <c r="G8" s="481"/>
      <c r="H8" s="481"/>
      <c r="I8" s="481"/>
      <c r="J8" s="481"/>
      <c r="K8" s="481"/>
      <c r="L8" s="481"/>
      <c r="M8" s="481"/>
      <c r="N8" s="481"/>
      <c r="O8" s="481"/>
      <c r="P8" s="481"/>
      <c r="Q8" s="481"/>
      <c r="R8" s="481"/>
      <c r="S8" s="481"/>
      <c r="T8" s="481"/>
      <c r="U8" s="281"/>
      <c r="V8" s="510">
        <f>SUM(V11,V16,V21,V35)</f>
        <v>178289</v>
      </c>
      <c r="W8" s="510"/>
      <c r="X8" s="510"/>
      <c r="Y8" s="510"/>
      <c r="Z8" s="510"/>
      <c r="AA8" s="510"/>
      <c r="AB8" s="510"/>
      <c r="AC8" s="510"/>
      <c r="AD8" s="510">
        <f>SUM(AD11,AD16,AD21,AD35)</f>
        <v>71629</v>
      </c>
      <c r="AE8" s="510"/>
      <c r="AF8" s="510"/>
      <c r="AG8" s="510"/>
      <c r="AH8" s="510"/>
      <c r="AI8" s="510"/>
      <c r="AJ8" s="510"/>
      <c r="AK8" s="510"/>
      <c r="AL8" s="510">
        <f>SUM(AL11,AL16,AL21,AL35)</f>
        <v>167532</v>
      </c>
      <c r="AM8" s="510"/>
      <c r="AN8" s="510"/>
      <c r="AO8" s="510"/>
      <c r="AP8" s="510"/>
      <c r="AQ8" s="510"/>
      <c r="AR8" s="510"/>
      <c r="AS8" s="510"/>
      <c r="AT8" s="515">
        <f>SUM(AT11,AT16,AT21,AT35)</f>
        <v>95903</v>
      </c>
      <c r="AU8" s="515"/>
      <c r="AV8" s="515"/>
      <c r="AW8" s="515"/>
      <c r="AX8" s="515"/>
      <c r="AY8" s="515"/>
      <c r="AZ8" s="515"/>
      <c r="BA8" s="515"/>
      <c r="BB8" s="510">
        <f>SUM(BB11,BB16,BB21,BB35)</f>
        <v>274192</v>
      </c>
      <c r="BC8" s="510"/>
      <c r="BD8" s="510"/>
      <c r="BE8" s="510"/>
      <c r="BF8" s="510"/>
      <c r="BG8" s="510"/>
      <c r="BH8" s="510"/>
      <c r="BI8" s="510"/>
    </row>
    <row r="9" spans="2:61" s="249" customFormat="1" ht="12.75" customHeight="1">
      <c r="B9" s="250"/>
      <c r="C9" s="58"/>
      <c r="D9" s="58"/>
      <c r="E9" s="58"/>
      <c r="F9" s="58"/>
      <c r="G9" s="58"/>
      <c r="H9" s="58"/>
      <c r="I9" s="58"/>
      <c r="J9" s="58"/>
      <c r="K9" s="58"/>
      <c r="L9" s="58"/>
      <c r="M9" s="58"/>
      <c r="N9" s="58"/>
      <c r="O9" s="58"/>
      <c r="P9" s="58"/>
      <c r="Q9" s="58"/>
      <c r="R9" s="58"/>
      <c r="S9" s="58"/>
      <c r="T9" s="58"/>
      <c r="U9" s="281"/>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3"/>
      <c r="AU9" s="283"/>
      <c r="AV9" s="283"/>
      <c r="AW9" s="283"/>
      <c r="AX9" s="283"/>
      <c r="AY9" s="283"/>
      <c r="AZ9" s="283"/>
      <c r="BA9" s="283"/>
      <c r="BB9" s="282"/>
      <c r="BC9" s="282"/>
      <c r="BD9" s="282"/>
      <c r="BE9" s="282"/>
      <c r="BF9" s="282"/>
      <c r="BG9" s="282"/>
      <c r="BH9" s="282"/>
      <c r="BI9" s="282"/>
    </row>
    <row r="10" spans="2:61" ht="12.75" customHeight="1">
      <c r="B10" s="84"/>
      <c r="C10" s="59"/>
      <c r="D10" s="59"/>
      <c r="E10" s="59"/>
      <c r="F10" s="59"/>
      <c r="G10" s="59"/>
      <c r="H10" s="59"/>
      <c r="I10" s="59"/>
      <c r="J10" s="59"/>
      <c r="K10" s="59"/>
      <c r="L10" s="59"/>
      <c r="M10" s="59"/>
      <c r="N10" s="59"/>
      <c r="O10" s="59"/>
      <c r="P10" s="59"/>
      <c r="Q10" s="59"/>
      <c r="R10" s="59"/>
      <c r="S10" s="59"/>
      <c r="T10" s="59"/>
      <c r="U10" s="248"/>
      <c r="V10" s="284"/>
      <c r="W10" s="284"/>
      <c r="X10" s="284"/>
      <c r="Y10" s="284"/>
      <c r="Z10" s="284"/>
      <c r="AA10" s="285"/>
      <c r="AB10" s="285"/>
      <c r="AC10" s="285"/>
      <c r="AD10" s="284"/>
      <c r="AE10" s="284"/>
      <c r="AF10" s="284"/>
      <c r="AG10" s="285"/>
      <c r="AH10" s="285"/>
      <c r="AI10" s="285"/>
      <c r="AJ10" s="285"/>
      <c r="AK10" s="285"/>
      <c r="AL10" s="284"/>
      <c r="AM10" s="284"/>
      <c r="AN10" s="285"/>
      <c r="AO10" s="285"/>
      <c r="AP10" s="285"/>
      <c r="AQ10" s="285"/>
      <c r="AR10" s="285"/>
      <c r="AS10" s="285"/>
      <c r="AT10" s="286"/>
      <c r="AU10" s="286"/>
      <c r="AV10" s="286"/>
      <c r="AW10" s="286"/>
      <c r="AX10" s="286"/>
      <c r="AY10" s="286"/>
      <c r="AZ10" s="287"/>
      <c r="BA10" s="287"/>
      <c r="BB10" s="284"/>
      <c r="BC10" s="284"/>
      <c r="BD10" s="284"/>
      <c r="BE10" s="284"/>
      <c r="BF10" s="284"/>
      <c r="BG10" s="285"/>
      <c r="BH10" s="285"/>
      <c r="BI10" s="285"/>
    </row>
    <row r="11" spans="2:61" s="249" customFormat="1" ht="12.75" customHeight="1">
      <c r="B11" s="250"/>
      <c r="C11" s="481" t="s">
        <v>261</v>
      </c>
      <c r="D11" s="481"/>
      <c r="E11" s="481"/>
      <c r="F11" s="481"/>
      <c r="G11" s="481"/>
      <c r="H11" s="481"/>
      <c r="I11" s="481"/>
      <c r="J11" s="481"/>
      <c r="K11" s="481"/>
      <c r="L11" s="481"/>
      <c r="M11" s="481"/>
      <c r="N11" s="481"/>
      <c r="O11" s="481"/>
      <c r="P11" s="481"/>
      <c r="Q11" s="481"/>
      <c r="R11" s="481"/>
      <c r="S11" s="481"/>
      <c r="T11" s="481"/>
      <c r="U11" s="281"/>
      <c r="V11" s="510">
        <f>SUM(V12:AC14)</f>
        <v>1361</v>
      </c>
      <c r="W11" s="510"/>
      <c r="X11" s="510"/>
      <c r="Y11" s="510"/>
      <c r="Z11" s="510"/>
      <c r="AA11" s="510"/>
      <c r="AB11" s="510"/>
      <c r="AC11" s="510"/>
      <c r="AD11" s="510">
        <f>SUM(AD12:AK14)</f>
        <v>107</v>
      </c>
      <c r="AE11" s="510"/>
      <c r="AF11" s="510"/>
      <c r="AG11" s="510"/>
      <c r="AH11" s="510"/>
      <c r="AI11" s="510"/>
      <c r="AJ11" s="510"/>
      <c r="AK11" s="510"/>
      <c r="AL11" s="510">
        <f>SUM(AL12:AS14)</f>
        <v>112</v>
      </c>
      <c r="AM11" s="510"/>
      <c r="AN11" s="510"/>
      <c r="AO11" s="510"/>
      <c r="AP11" s="510"/>
      <c r="AQ11" s="510"/>
      <c r="AR11" s="510"/>
      <c r="AS11" s="510"/>
      <c r="AT11" s="515">
        <f>SUM(AT12:BA14)</f>
        <v>5</v>
      </c>
      <c r="AU11" s="515"/>
      <c r="AV11" s="515"/>
      <c r="AW11" s="515"/>
      <c r="AX11" s="515"/>
      <c r="AY11" s="515"/>
      <c r="AZ11" s="515"/>
      <c r="BA11" s="515"/>
      <c r="BB11" s="510">
        <f>SUM(BB12:BI14)</f>
        <v>1366</v>
      </c>
      <c r="BC11" s="510"/>
      <c r="BD11" s="510"/>
      <c r="BE11" s="510"/>
      <c r="BF11" s="510"/>
      <c r="BG11" s="510"/>
      <c r="BH11" s="510"/>
      <c r="BI11" s="510"/>
    </row>
    <row r="12" spans="2:61" ht="12.75" customHeight="1">
      <c r="B12" s="84"/>
      <c r="C12" s="59"/>
      <c r="D12" s="59"/>
      <c r="E12" s="484" t="s">
        <v>262</v>
      </c>
      <c r="F12" s="484"/>
      <c r="G12" s="484"/>
      <c r="H12" s="484"/>
      <c r="I12" s="484"/>
      <c r="J12" s="484"/>
      <c r="K12" s="484"/>
      <c r="L12" s="484"/>
      <c r="M12" s="484"/>
      <c r="N12" s="484"/>
      <c r="O12" s="484"/>
      <c r="P12" s="484"/>
      <c r="Q12" s="484"/>
      <c r="R12" s="484"/>
      <c r="S12" s="484"/>
      <c r="T12" s="484"/>
      <c r="U12" s="248"/>
      <c r="V12" s="507">
        <v>1360</v>
      </c>
      <c r="W12" s="507"/>
      <c r="X12" s="507"/>
      <c r="Y12" s="507"/>
      <c r="Z12" s="507"/>
      <c r="AA12" s="507"/>
      <c r="AB12" s="507"/>
      <c r="AC12" s="507"/>
      <c r="AD12" s="507">
        <v>107</v>
      </c>
      <c r="AE12" s="507"/>
      <c r="AF12" s="507"/>
      <c r="AG12" s="507"/>
      <c r="AH12" s="507"/>
      <c r="AI12" s="507"/>
      <c r="AJ12" s="507"/>
      <c r="AK12" s="507"/>
      <c r="AL12" s="507">
        <v>103</v>
      </c>
      <c r="AM12" s="507"/>
      <c r="AN12" s="507"/>
      <c r="AO12" s="507"/>
      <c r="AP12" s="507"/>
      <c r="AQ12" s="507"/>
      <c r="AR12" s="507"/>
      <c r="AS12" s="507"/>
      <c r="AT12" s="511">
        <v>-4</v>
      </c>
      <c r="AU12" s="511"/>
      <c r="AV12" s="511"/>
      <c r="AW12" s="511"/>
      <c r="AX12" s="511"/>
      <c r="AY12" s="511"/>
      <c r="AZ12" s="511"/>
      <c r="BA12" s="511"/>
      <c r="BB12" s="507">
        <v>1356</v>
      </c>
      <c r="BC12" s="507"/>
      <c r="BD12" s="507"/>
      <c r="BE12" s="507"/>
      <c r="BF12" s="507"/>
      <c r="BG12" s="507"/>
      <c r="BH12" s="507"/>
      <c r="BI12" s="507"/>
    </row>
    <row r="13" spans="2:61" ht="12.75" customHeight="1">
      <c r="B13" s="84"/>
      <c r="C13" s="59"/>
      <c r="D13" s="59"/>
      <c r="E13" s="484" t="s">
        <v>263</v>
      </c>
      <c r="F13" s="484"/>
      <c r="G13" s="484"/>
      <c r="H13" s="484"/>
      <c r="I13" s="484"/>
      <c r="J13" s="484"/>
      <c r="K13" s="484"/>
      <c r="L13" s="484"/>
      <c r="M13" s="484"/>
      <c r="N13" s="484"/>
      <c r="O13" s="484"/>
      <c r="P13" s="484"/>
      <c r="Q13" s="484"/>
      <c r="R13" s="484"/>
      <c r="S13" s="484"/>
      <c r="T13" s="484"/>
      <c r="U13" s="248"/>
      <c r="V13" s="509">
        <v>0</v>
      </c>
      <c r="W13" s="509"/>
      <c r="X13" s="509"/>
      <c r="Y13" s="509"/>
      <c r="Z13" s="509"/>
      <c r="AA13" s="509"/>
      <c r="AB13" s="509"/>
      <c r="AC13" s="509"/>
      <c r="AD13" s="509">
        <v>0</v>
      </c>
      <c r="AE13" s="509"/>
      <c r="AF13" s="509"/>
      <c r="AG13" s="509"/>
      <c r="AH13" s="509"/>
      <c r="AI13" s="509"/>
      <c r="AJ13" s="509"/>
      <c r="AK13" s="509"/>
      <c r="AL13" s="507">
        <v>3</v>
      </c>
      <c r="AM13" s="507"/>
      <c r="AN13" s="507"/>
      <c r="AO13" s="507"/>
      <c r="AP13" s="507"/>
      <c r="AQ13" s="507"/>
      <c r="AR13" s="507"/>
      <c r="AS13" s="507"/>
      <c r="AT13" s="511">
        <v>3</v>
      </c>
      <c r="AU13" s="511"/>
      <c r="AV13" s="511"/>
      <c r="AW13" s="511"/>
      <c r="AX13" s="511"/>
      <c r="AY13" s="511"/>
      <c r="AZ13" s="511"/>
      <c r="BA13" s="511"/>
      <c r="BB13" s="507">
        <v>3</v>
      </c>
      <c r="BC13" s="507"/>
      <c r="BD13" s="507"/>
      <c r="BE13" s="507"/>
      <c r="BF13" s="507"/>
      <c r="BG13" s="507"/>
      <c r="BH13" s="507"/>
      <c r="BI13" s="507"/>
    </row>
    <row r="14" spans="2:61" ht="12.75" customHeight="1">
      <c r="B14" s="84"/>
      <c r="C14" s="59"/>
      <c r="D14" s="59"/>
      <c r="E14" s="484" t="s">
        <v>264</v>
      </c>
      <c r="F14" s="484"/>
      <c r="G14" s="484"/>
      <c r="H14" s="484"/>
      <c r="I14" s="484"/>
      <c r="J14" s="484"/>
      <c r="K14" s="484"/>
      <c r="L14" s="484"/>
      <c r="M14" s="484"/>
      <c r="N14" s="484"/>
      <c r="O14" s="484"/>
      <c r="P14" s="484"/>
      <c r="Q14" s="484"/>
      <c r="R14" s="484"/>
      <c r="S14" s="484"/>
      <c r="T14" s="484"/>
      <c r="U14" s="248"/>
      <c r="V14" s="508">
        <v>1</v>
      </c>
      <c r="W14" s="507"/>
      <c r="X14" s="507"/>
      <c r="Y14" s="507"/>
      <c r="Z14" s="507"/>
      <c r="AA14" s="507"/>
      <c r="AB14" s="507"/>
      <c r="AC14" s="507"/>
      <c r="AD14" s="509">
        <v>0</v>
      </c>
      <c r="AE14" s="509"/>
      <c r="AF14" s="509"/>
      <c r="AG14" s="509"/>
      <c r="AH14" s="509"/>
      <c r="AI14" s="509"/>
      <c r="AJ14" s="509"/>
      <c r="AK14" s="509"/>
      <c r="AL14" s="507">
        <v>6</v>
      </c>
      <c r="AM14" s="507"/>
      <c r="AN14" s="507"/>
      <c r="AO14" s="507"/>
      <c r="AP14" s="507"/>
      <c r="AQ14" s="507"/>
      <c r="AR14" s="507"/>
      <c r="AS14" s="507"/>
      <c r="AT14" s="511">
        <v>6</v>
      </c>
      <c r="AU14" s="511"/>
      <c r="AV14" s="511"/>
      <c r="AW14" s="511"/>
      <c r="AX14" s="511"/>
      <c r="AY14" s="511"/>
      <c r="AZ14" s="511"/>
      <c r="BA14" s="511"/>
      <c r="BB14" s="507">
        <v>7</v>
      </c>
      <c r="BC14" s="507"/>
      <c r="BD14" s="507"/>
      <c r="BE14" s="507"/>
      <c r="BF14" s="507"/>
      <c r="BG14" s="507"/>
      <c r="BH14" s="507"/>
      <c r="BI14" s="507"/>
    </row>
    <row r="15" spans="2:61" ht="12.75" customHeight="1">
      <c r="B15" s="84"/>
      <c r="C15" s="59"/>
      <c r="D15" s="59"/>
      <c r="E15" s="59"/>
      <c r="F15" s="59"/>
      <c r="G15" s="59"/>
      <c r="H15" s="59"/>
      <c r="I15" s="59"/>
      <c r="J15" s="59"/>
      <c r="K15" s="59"/>
      <c r="L15" s="59"/>
      <c r="M15" s="59"/>
      <c r="N15" s="59"/>
      <c r="O15" s="59"/>
      <c r="P15" s="59"/>
      <c r="Q15" s="59"/>
      <c r="R15" s="59"/>
      <c r="S15" s="59"/>
      <c r="T15" s="59"/>
      <c r="U15" s="248"/>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6"/>
      <c r="AU15" s="286"/>
      <c r="AV15" s="286"/>
      <c r="AW15" s="286"/>
      <c r="AX15" s="286"/>
      <c r="AY15" s="286"/>
      <c r="AZ15" s="286"/>
      <c r="BA15" s="286"/>
      <c r="BB15" s="284"/>
      <c r="BC15" s="284"/>
      <c r="BD15" s="284"/>
      <c r="BE15" s="284"/>
      <c r="BF15" s="284"/>
      <c r="BG15" s="284"/>
      <c r="BH15" s="284"/>
      <c r="BI15" s="284"/>
    </row>
    <row r="16" spans="2:61" s="249" customFormat="1" ht="12.75" customHeight="1">
      <c r="B16" s="250"/>
      <c r="C16" s="481" t="s">
        <v>265</v>
      </c>
      <c r="D16" s="481"/>
      <c r="E16" s="481"/>
      <c r="F16" s="481"/>
      <c r="G16" s="481"/>
      <c r="H16" s="481"/>
      <c r="I16" s="481"/>
      <c r="J16" s="481"/>
      <c r="K16" s="481"/>
      <c r="L16" s="481"/>
      <c r="M16" s="481"/>
      <c r="N16" s="481"/>
      <c r="O16" s="481"/>
      <c r="P16" s="481"/>
      <c r="Q16" s="481"/>
      <c r="R16" s="481"/>
      <c r="S16" s="481"/>
      <c r="T16" s="481"/>
      <c r="U16" s="251"/>
      <c r="V16" s="510">
        <f>SUM(V17:AC19)</f>
        <v>33272</v>
      </c>
      <c r="W16" s="510"/>
      <c r="X16" s="510"/>
      <c r="Y16" s="510"/>
      <c r="Z16" s="510"/>
      <c r="AA16" s="510"/>
      <c r="AB16" s="510"/>
      <c r="AC16" s="510"/>
      <c r="AD16" s="510">
        <f>SUM(AD17:AK19)</f>
        <v>14338</v>
      </c>
      <c r="AE16" s="510"/>
      <c r="AF16" s="510"/>
      <c r="AG16" s="510"/>
      <c r="AH16" s="510"/>
      <c r="AI16" s="510"/>
      <c r="AJ16" s="510"/>
      <c r="AK16" s="510"/>
      <c r="AL16" s="510">
        <f>SUM(AL17:AS19)</f>
        <v>28032</v>
      </c>
      <c r="AM16" s="510"/>
      <c r="AN16" s="510"/>
      <c r="AO16" s="510"/>
      <c r="AP16" s="510"/>
      <c r="AQ16" s="510"/>
      <c r="AR16" s="510"/>
      <c r="AS16" s="510"/>
      <c r="AT16" s="515">
        <f>SUM(AT17:BA19)</f>
        <v>13694</v>
      </c>
      <c r="AU16" s="515"/>
      <c r="AV16" s="515"/>
      <c r="AW16" s="515"/>
      <c r="AX16" s="515"/>
      <c r="AY16" s="515"/>
      <c r="AZ16" s="515"/>
      <c r="BA16" s="515"/>
      <c r="BB16" s="510">
        <f>SUM(BB17:BI19)</f>
        <v>46966</v>
      </c>
      <c r="BC16" s="510"/>
      <c r="BD16" s="510"/>
      <c r="BE16" s="510"/>
      <c r="BF16" s="510"/>
      <c r="BG16" s="510"/>
      <c r="BH16" s="510"/>
      <c r="BI16" s="510"/>
    </row>
    <row r="17" spans="2:61" ht="12.75" customHeight="1">
      <c r="B17" s="84"/>
      <c r="C17" s="59"/>
      <c r="D17" s="59"/>
      <c r="E17" s="484" t="s">
        <v>266</v>
      </c>
      <c r="F17" s="484"/>
      <c r="G17" s="484"/>
      <c r="H17" s="484"/>
      <c r="I17" s="484"/>
      <c r="J17" s="484"/>
      <c r="K17" s="484"/>
      <c r="L17" s="484"/>
      <c r="M17" s="484"/>
      <c r="N17" s="484"/>
      <c r="O17" s="484"/>
      <c r="P17" s="484"/>
      <c r="Q17" s="484"/>
      <c r="R17" s="484"/>
      <c r="S17" s="484"/>
      <c r="T17" s="484"/>
      <c r="U17" s="248"/>
      <c r="V17" s="507">
        <v>7</v>
      </c>
      <c r="W17" s="507"/>
      <c r="X17" s="507"/>
      <c r="Y17" s="507"/>
      <c r="Z17" s="507"/>
      <c r="AA17" s="507"/>
      <c r="AB17" s="507"/>
      <c r="AC17" s="507"/>
      <c r="AD17" s="507">
        <v>1</v>
      </c>
      <c r="AE17" s="507"/>
      <c r="AF17" s="507"/>
      <c r="AG17" s="507"/>
      <c r="AH17" s="507"/>
      <c r="AI17" s="507"/>
      <c r="AJ17" s="507"/>
      <c r="AK17" s="507"/>
      <c r="AL17" s="507">
        <v>33</v>
      </c>
      <c r="AM17" s="507"/>
      <c r="AN17" s="507"/>
      <c r="AO17" s="507"/>
      <c r="AP17" s="507"/>
      <c r="AQ17" s="507"/>
      <c r="AR17" s="507"/>
      <c r="AS17" s="507"/>
      <c r="AT17" s="511">
        <v>32</v>
      </c>
      <c r="AU17" s="511"/>
      <c r="AV17" s="511"/>
      <c r="AW17" s="511"/>
      <c r="AX17" s="511"/>
      <c r="AY17" s="511"/>
      <c r="AZ17" s="511"/>
      <c r="BA17" s="511"/>
      <c r="BB17" s="507">
        <v>39</v>
      </c>
      <c r="BC17" s="507"/>
      <c r="BD17" s="507"/>
      <c r="BE17" s="507"/>
      <c r="BF17" s="507"/>
      <c r="BG17" s="507"/>
      <c r="BH17" s="507"/>
      <c r="BI17" s="507"/>
    </row>
    <row r="18" spans="2:61" ht="12.75" customHeight="1">
      <c r="B18" s="84"/>
      <c r="C18" s="59"/>
      <c r="D18" s="59"/>
      <c r="E18" s="484" t="s">
        <v>267</v>
      </c>
      <c r="F18" s="484"/>
      <c r="G18" s="484"/>
      <c r="H18" s="484"/>
      <c r="I18" s="484"/>
      <c r="J18" s="484"/>
      <c r="K18" s="484"/>
      <c r="L18" s="484"/>
      <c r="M18" s="484"/>
      <c r="N18" s="484"/>
      <c r="O18" s="484"/>
      <c r="P18" s="484"/>
      <c r="Q18" s="484"/>
      <c r="R18" s="484"/>
      <c r="S18" s="484"/>
      <c r="T18" s="484"/>
      <c r="U18" s="248"/>
      <c r="V18" s="507">
        <v>21941</v>
      </c>
      <c r="W18" s="507"/>
      <c r="X18" s="507"/>
      <c r="Y18" s="507"/>
      <c r="Z18" s="507"/>
      <c r="AA18" s="507"/>
      <c r="AB18" s="507"/>
      <c r="AC18" s="507"/>
      <c r="AD18" s="507">
        <v>9487</v>
      </c>
      <c r="AE18" s="507"/>
      <c r="AF18" s="507"/>
      <c r="AG18" s="507"/>
      <c r="AH18" s="507"/>
      <c r="AI18" s="507"/>
      <c r="AJ18" s="507"/>
      <c r="AK18" s="507"/>
      <c r="AL18" s="507">
        <v>10030</v>
      </c>
      <c r="AM18" s="507"/>
      <c r="AN18" s="507"/>
      <c r="AO18" s="507"/>
      <c r="AP18" s="507"/>
      <c r="AQ18" s="507"/>
      <c r="AR18" s="507"/>
      <c r="AS18" s="507"/>
      <c r="AT18" s="511">
        <v>543</v>
      </c>
      <c r="AU18" s="511"/>
      <c r="AV18" s="511"/>
      <c r="AW18" s="511"/>
      <c r="AX18" s="511"/>
      <c r="AY18" s="511"/>
      <c r="AZ18" s="511"/>
      <c r="BA18" s="511"/>
      <c r="BB18" s="507">
        <v>22484</v>
      </c>
      <c r="BC18" s="507"/>
      <c r="BD18" s="507"/>
      <c r="BE18" s="507"/>
      <c r="BF18" s="507"/>
      <c r="BG18" s="507"/>
      <c r="BH18" s="507"/>
      <c r="BI18" s="507"/>
    </row>
    <row r="19" spans="2:61" ht="12.75" customHeight="1">
      <c r="B19" s="84"/>
      <c r="C19" s="59"/>
      <c r="D19" s="59"/>
      <c r="E19" s="484" t="s">
        <v>268</v>
      </c>
      <c r="F19" s="484"/>
      <c r="G19" s="484"/>
      <c r="H19" s="484"/>
      <c r="I19" s="484"/>
      <c r="J19" s="484"/>
      <c r="K19" s="484"/>
      <c r="L19" s="484"/>
      <c r="M19" s="484"/>
      <c r="N19" s="484"/>
      <c r="O19" s="484"/>
      <c r="P19" s="484"/>
      <c r="Q19" s="484"/>
      <c r="R19" s="484"/>
      <c r="S19" s="484"/>
      <c r="T19" s="484"/>
      <c r="U19" s="248"/>
      <c r="V19" s="507">
        <v>11324</v>
      </c>
      <c r="W19" s="507"/>
      <c r="X19" s="507"/>
      <c r="Y19" s="507"/>
      <c r="Z19" s="507"/>
      <c r="AA19" s="507"/>
      <c r="AB19" s="507"/>
      <c r="AC19" s="507"/>
      <c r="AD19" s="507">
        <v>4850</v>
      </c>
      <c r="AE19" s="507"/>
      <c r="AF19" s="507"/>
      <c r="AG19" s="507"/>
      <c r="AH19" s="507"/>
      <c r="AI19" s="507"/>
      <c r="AJ19" s="507"/>
      <c r="AK19" s="507"/>
      <c r="AL19" s="507">
        <v>17969</v>
      </c>
      <c r="AM19" s="507"/>
      <c r="AN19" s="507"/>
      <c r="AO19" s="507"/>
      <c r="AP19" s="507"/>
      <c r="AQ19" s="507"/>
      <c r="AR19" s="507"/>
      <c r="AS19" s="507"/>
      <c r="AT19" s="511">
        <v>13119</v>
      </c>
      <c r="AU19" s="511"/>
      <c r="AV19" s="511"/>
      <c r="AW19" s="511"/>
      <c r="AX19" s="511"/>
      <c r="AY19" s="511"/>
      <c r="AZ19" s="511"/>
      <c r="BA19" s="511"/>
      <c r="BB19" s="507">
        <v>24443</v>
      </c>
      <c r="BC19" s="507"/>
      <c r="BD19" s="507"/>
      <c r="BE19" s="507"/>
      <c r="BF19" s="507"/>
      <c r="BG19" s="507"/>
      <c r="BH19" s="507"/>
      <c r="BI19" s="507"/>
    </row>
    <row r="20" spans="2:61" ht="12.75" customHeight="1">
      <c r="B20" s="84"/>
      <c r="C20" s="59"/>
      <c r="D20" s="59"/>
      <c r="E20" s="59"/>
      <c r="F20" s="59"/>
      <c r="G20" s="59"/>
      <c r="H20" s="59"/>
      <c r="I20" s="59"/>
      <c r="J20" s="59"/>
      <c r="K20" s="59"/>
      <c r="L20" s="59"/>
      <c r="M20" s="59"/>
      <c r="N20" s="59"/>
      <c r="O20" s="59"/>
      <c r="P20" s="59"/>
      <c r="Q20" s="59"/>
      <c r="R20" s="59"/>
      <c r="S20" s="59"/>
      <c r="T20" s="59"/>
      <c r="U20" s="248"/>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6"/>
      <c r="AU20" s="286"/>
      <c r="AV20" s="286"/>
      <c r="AW20" s="286"/>
      <c r="AX20" s="286"/>
      <c r="AY20" s="286"/>
      <c r="AZ20" s="286"/>
      <c r="BA20" s="286"/>
      <c r="BB20" s="284"/>
      <c r="BC20" s="284"/>
      <c r="BD20" s="284"/>
      <c r="BE20" s="284"/>
      <c r="BF20" s="284"/>
      <c r="BG20" s="284"/>
      <c r="BH20" s="284"/>
      <c r="BI20" s="284"/>
    </row>
    <row r="21" spans="2:61" s="249" customFormat="1" ht="12.75" customHeight="1">
      <c r="B21" s="250"/>
      <c r="C21" s="481" t="s">
        <v>269</v>
      </c>
      <c r="D21" s="481"/>
      <c r="E21" s="481"/>
      <c r="F21" s="481"/>
      <c r="G21" s="481"/>
      <c r="H21" s="481"/>
      <c r="I21" s="481"/>
      <c r="J21" s="481"/>
      <c r="K21" s="481"/>
      <c r="L21" s="481"/>
      <c r="M21" s="481"/>
      <c r="N21" s="481"/>
      <c r="O21" s="481"/>
      <c r="P21" s="481"/>
      <c r="Q21" s="481"/>
      <c r="R21" s="481"/>
      <c r="S21" s="481"/>
      <c r="T21" s="481"/>
      <c r="U21" s="251"/>
      <c r="V21" s="510">
        <f>SUM(V22:AC33)</f>
        <v>136346</v>
      </c>
      <c r="W21" s="510"/>
      <c r="X21" s="510"/>
      <c r="Y21" s="510"/>
      <c r="Z21" s="510"/>
      <c r="AA21" s="510"/>
      <c r="AB21" s="510"/>
      <c r="AC21" s="510"/>
      <c r="AD21" s="510">
        <f>SUM(AD22:AK33)</f>
        <v>56051</v>
      </c>
      <c r="AE21" s="510"/>
      <c r="AF21" s="510"/>
      <c r="AG21" s="510"/>
      <c r="AH21" s="510"/>
      <c r="AI21" s="510"/>
      <c r="AJ21" s="510"/>
      <c r="AK21" s="510"/>
      <c r="AL21" s="510">
        <f>SUM(AL22:AS33)</f>
        <v>136021</v>
      </c>
      <c r="AM21" s="510"/>
      <c r="AN21" s="510"/>
      <c r="AO21" s="510"/>
      <c r="AP21" s="510"/>
      <c r="AQ21" s="510"/>
      <c r="AR21" s="510"/>
      <c r="AS21" s="510"/>
      <c r="AT21" s="515">
        <f>SUM(AT22:BA33)</f>
        <v>79970</v>
      </c>
      <c r="AU21" s="515"/>
      <c r="AV21" s="515"/>
      <c r="AW21" s="515"/>
      <c r="AX21" s="515"/>
      <c r="AY21" s="515"/>
      <c r="AZ21" s="515"/>
      <c r="BA21" s="515"/>
      <c r="BB21" s="510">
        <f>SUM(BB22:BI33)</f>
        <v>216316</v>
      </c>
      <c r="BC21" s="510"/>
      <c r="BD21" s="510"/>
      <c r="BE21" s="510"/>
      <c r="BF21" s="510"/>
      <c r="BG21" s="510"/>
      <c r="BH21" s="510"/>
      <c r="BI21" s="510"/>
    </row>
    <row r="22" spans="2:61" ht="12.75" customHeight="1">
      <c r="B22" s="84"/>
      <c r="C22" s="59"/>
      <c r="D22" s="59"/>
      <c r="E22" s="484" t="s">
        <v>270</v>
      </c>
      <c r="F22" s="484"/>
      <c r="G22" s="484"/>
      <c r="H22" s="484"/>
      <c r="I22" s="484"/>
      <c r="J22" s="484"/>
      <c r="K22" s="484"/>
      <c r="L22" s="484"/>
      <c r="M22" s="484"/>
      <c r="N22" s="484"/>
      <c r="O22" s="484"/>
      <c r="P22" s="484"/>
      <c r="Q22" s="484"/>
      <c r="R22" s="484"/>
      <c r="S22" s="484"/>
      <c r="T22" s="484"/>
      <c r="U22" s="288"/>
      <c r="V22" s="507">
        <v>598</v>
      </c>
      <c r="W22" s="507"/>
      <c r="X22" s="507"/>
      <c r="Y22" s="507"/>
      <c r="Z22" s="507"/>
      <c r="AA22" s="507"/>
      <c r="AB22" s="507"/>
      <c r="AC22" s="507"/>
      <c r="AD22" s="507">
        <v>488</v>
      </c>
      <c r="AE22" s="507"/>
      <c r="AF22" s="507"/>
      <c r="AG22" s="507"/>
      <c r="AH22" s="507"/>
      <c r="AI22" s="507"/>
      <c r="AJ22" s="507"/>
      <c r="AK22" s="507"/>
      <c r="AL22" s="507">
        <v>777</v>
      </c>
      <c r="AM22" s="507"/>
      <c r="AN22" s="507"/>
      <c r="AO22" s="507"/>
      <c r="AP22" s="507"/>
      <c r="AQ22" s="507"/>
      <c r="AR22" s="507"/>
      <c r="AS22" s="507"/>
      <c r="AT22" s="507">
        <v>289</v>
      </c>
      <c r="AU22" s="507"/>
      <c r="AV22" s="507"/>
      <c r="AW22" s="507"/>
      <c r="AX22" s="507"/>
      <c r="AY22" s="507"/>
      <c r="AZ22" s="507"/>
      <c r="BA22" s="507"/>
      <c r="BB22" s="507">
        <v>887</v>
      </c>
      <c r="BC22" s="507"/>
      <c r="BD22" s="507"/>
      <c r="BE22" s="507"/>
      <c r="BF22" s="507"/>
      <c r="BG22" s="507"/>
      <c r="BH22" s="507"/>
      <c r="BI22" s="507"/>
    </row>
    <row r="23" spans="2:61" ht="12.75" customHeight="1">
      <c r="B23" s="84"/>
      <c r="C23" s="59"/>
      <c r="D23" s="59"/>
      <c r="E23" s="484" t="s">
        <v>542</v>
      </c>
      <c r="F23" s="484"/>
      <c r="G23" s="484"/>
      <c r="H23" s="484"/>
      <c r="I23" s="484"/>
      <c r="J23" s="484"/>
      <c r="K23" s="484"/>
      <c r="L23" s="484"/>
      <c r="M23" s="484"/>
      <c r="N23" s="484"/>
      <c r="O23" s="484"/>
      <c r="P23" s="484"/>
      <c r="Q23" s="484"/>
      <c r="R23" s="484"/>
      <c r="S23" s="484"/>
      <c r="T23" s="484"/>
      <c r="U23" s="288"/>
      <c r="V23" s="507">
        <v>5166</v>
      </c>
      <c r="W23" s="507"/>
      <c r="X23" s="507"/>
      <c r="Y23" s="507"/>
      <c r="Z23" s="507"/>
      <c r="AA23" s="507"/>
      <c r="AB23" s="507"/>
      <c r="AC23" s="507"/>
      <c r="AD23" s="507">
        <v>2579</v>
      </c>
      <c r="AE23" s="507"/>
      <c r="AF23" s="507"/>
      <c r="AG23" s="507"/>
      <c r="AH23" s="507"/>
      <c r="AI23" s="507"/>
      <c r="AJ23" s="507"/>
      <c r="AK23" s="507"/>
      <c r="AL23" s="507">
        <v>17715</v>
      </c>
      <c r="AM23" s="507"/>
      <c r="AN23" s="507"/>
      <c r="AO23" s="507"/>
      <c r="AP23" s="507"/>
      <c r="AQ23" s="507"/>
      <c r="AR23" s="507"/>
      <c r="AS23" s="507"/>
      <c r="AT23" s="507">
        <v>15136</v>
      </c>
      <c r="AU23" s="507"/>
      <c r="AV23" s="507"/>
      <c r="AW23" s="507"/>
      <c r="AX23" s="507"/>
      <c r="AY23" s="507"/>
      <c r="AZ23" s="507"/>
      <c r="BA23" s="507"/>
      <c r="BB23" s="507">
        <v>20302</v>
      </c>
      <c r="BC23" s="507"/>
      <c r="BD23" s="507"/>
      <c r="BE23" s="507"/>
      <c r="BF23" s="507"/>
      <c r="BG23" s="507"/>
      <c r="BH23" s="507"/>
      <c r="BI23" s="507"/>
    </row>
    <row r="24" spans="2:61" ht="12.75" customHeight="1">
      <c r="B24" s="84"/>
      <c r="C24" s="59"/>
      <c r="D24" s="59"/>
      <c r="E24" s="484" t="s">
        <v>544</v>
      </c>
      <c r="F24" s="484"/>
      <c r="G24" s="484"/>
      <c r="H24" s="484"/>
      <c r="I24" s="484"/>
      <c r="J24" s="484"/>
      <c r="K24" s="484"/>
      <c r="L24" s="484"/>
      <c r="M24" s="484"/>
      <c r="N24" s="484"/>
      <c r="O24" s="484"/>
      <c r="P24" s="484"/>
      <c r="Q24" s="484"/>
      <c r="R24" s="484"/>
      <c r="S24" s="484"/>
      <c r="T24" s="484"/>
      <c r="U24" s="288"/>
      <c r="V24" s="507">
        <v>11404</v>
      </c>
      <c r="W24" s="507"/>
      <c r="X24" s="507"/>
      <c r="Y24" s="507"/>
      <c r="Z24" s="507"/>
      <c r="AA24" s="507"/>
      <c r="AB24" s="507"/>
      <c r="AC24" s="507"/>
      <c r="AD24" s="507">
        <v>5542</v>
      </c>
      <c r="AE24" s="507"/>
      <c r="AF24" s="507"/>
      <c r="AG24" s="507"/>
      <c r="AH24" s="507"/>
      <c r="AI24" s="507"/>
      <c r="AJ24" s="507"/>
      <c r="AK24" s="507"/>
      <c r="AL24" s="507">
        <v>6327</v>
      </c>
      <c r="AM24" s="507"/>
      <c r="AN24" s="507"/>
      <c r="AO24" s="507"/>
      <c r="AP24" s="507"/>
      <c r="AQ24" s="507"/>
      <c r="AR24" s="507"/>
      <c r="AS24" s="507"/>
      <c r="AT24" s="507">
        <v>785</v>
      </c>
      <c r="AU24" s="507"/>
      <c r="AV24" s="507"/>
      <c r="AW24" s="507"/>
      <c r="AX24" s="507"/>
      <c r="AY24" s="507"/>
      <c r="AZ24" s="507"/>
      <c r="BA24" s="507"/>
      <c r="BB24" s="507">
        <v>12189</v>
      </c>
      <c r="BC24" s="507"/>
      <c r="BD24" s="507"/>
      <c r="BE24" s="507"/>
      <c r="BF24" s="507"/>
      <c r="BG24" s="507"/>
      <c r="BH24" s="507"/>
      <c r="BI24" s="507"/>
    </row>
    <row r="25" spans="2:61" ht="12.75" customHeight="1">
      <c r="B25" s="84"/>
      <c r="C25" s="59"/>
      <c r="D25" s="59"/>
      <c r="E25" s="484" t="s">
        <v>545</v>
      </c>
      <c r="F25" s="484"/>
      <c r="G25" s="484"/>
      <c r="H25" s="484"/>
      <c r="I25" s="484"/>
      <c r="J25" s="484"/>
      <c r="K25" s="484"/>
      <c r="L25" s="484"/>
      <c r="M25" s="484"/>
      <c r="N25" s="484"/>
      <c r="O25" s="484"/>
      <c r="P25" s="484"/>
      <c r="Q25" s="484"/>
      <c r="R25" s="484"/>
      <c r="S25" s="484"/>
      <c r="T25" s="484"/>
      <c r="U25" s="288"/>
      <c r="V25" s="507">
        <v>33372</v>
      </c>
      <c r="W25" s="507"/>
      <c r="X25" s="507"/>
      <c r="Y25" s="507"/>
      <c r="Z25" s="507"/>
      <c r="AA25" s="507"/>
      <c r="AB25" s="507"/>
      <c r="AC25" s="507"/>
      <c r="AD25" s="507">
        <v>12528</v>
      </c>
      <c r="AE25" s="507"/>
      <c r="AF25" s="507"/>
      <c r="AG25" s="507"/>
      <c r="AH25" s="507"/>
      <c r="AI25" s="507"/>
      <c r="AJ25" s="507"/>
      <c r="AK25" s="507"/>
      <c r="AL25" s="507">
        <v>28395</v>
      </c>
      <c r="AM25" s="507"/>
      <c r="AN25" s="507"/>
      <c r="AO25" s="507"/>
      <c r="AP25" s="507"/>
      <c r="AQ25" s="507"/>
      <c r="AR25" s="507"/>
      <c r="AS25" s="507"/>
      <c r="AT25" s="507">
        <v>15867</v>
      </c>
      <c r="AU25" s="507"/>
      <c r="AV25" s="507"/>
      <c r="AW25" s="507"/>
      <c r="AX25" s="507"/>
      <c r="AY25" s="507"/>
      <c r="AZ25" s="507"/>
      <c r="BA25" s="507"/>
      <c r="BB25" s="507">
        <v>49239</v>
      </c>
      <c r="BC25" s="507"/>
      <c r="BD25" s="507"/>
      <c r="BE25" s="507"/>
      <c r="BF25" s="507"/>
      <c r="BG25" s="507"/>
      <c r="BH25" s="507"/>
      <c r="BI25" s="507"/>
    </row>
    <row r="26" spans="2:61" ht="12.75" customHeight="1">
      <c r="B26" s="84"/>
      <c r="C26" s="59"/>
      <c r="D26" s="59"/>
      <c r="E26" s="484" t="s">
        <v>271</v>
      </c>
      <c r="F26" s="484"/>
      <c r="G26" s="484"/>
      <c r="H26" s="484"/>
      <c r="I26" s="484"/>
      <c r="J26" s="484"/>
      <c r="K26" s="484"/>
      <c r="L26" s="484"/>
      <c r="M26" s="484"/>
      <c r="N26" s="484"/>
      <c r="O26" s="484"/>
      <c r="P26" s="484"/>
      <c r="Q26" s="484"/>
      <c r="R26" s="484"/>
      <c r="S26" s="484"/>
      <c r="T26" s="484"/>
      <c r="U26" s="288"/>
      <c r="V26" s="507">
        <v>4387</v>
      </c>
      <c r="W26" s="507"/>
      <c r="X26" s="507"/>
      <c r="Y26" s="507"/>
      <c r="Z26" s="507"/>
      <c r="AA26" s="507"/>
      <c r="AB26" s="507"/>
      <c r="AC26" s="507"/>
      <c r="AD26" s="507">
        <v>2556</v>
      </c>
      <c r="AE26" s="507"/>
      <c r="AF26" s="507"/>
      <c r="AG26" s="507"/>
      <c r="AH26" s="507"/>
      <c r="AI26" s="507"/>
      <c r="AJ26" s="507"/>
      <c r="AK26" s="507"/>
      <c r="AL26" s="507">
        <v>10295</v>
      </c>
      <c r="AM26" s="507"/>
      <c r="AN26" s="507"/>
      <c r="AO26" s="507"/>
      <c r="AP26" s="507"/>
      <c r="AQ26" s="507"/>
      <c r="AR26" s="507"/>
      <c r="AS26" s="507"/>
      <c r="AT26" s="507">
        <v>7739</v>
      </c>
      <c r="AU26" s="507"/>
      <c r="AV26" s="507"/>
      <c r="AW26" s="507"/>
      <c r="AX26" s="507"/>
      <c r="AY26" s="507"/>
      <c r="AZ26" s="507"/>
      <c r="BA26" s="507"/>
      <c r="BB26" s="507">
        <v>12126</v>
      </c>
      <c r="BC26" s="507"/>
      <c r="BD26" s="507"/>
      <c r="BE26" s="507"/>
      <c r="BF26" s="507"/>
      <c r="BG26" s="507"/>
      <c r="BH26" s="507"/>
      <c r="BI26" s="507"/>
    </row>
    <row r="27" spans="2:61" ht="12.75" customHeight="1">
      <c r="B27" s="84"/>
      <c r="C27" s="59"/>
      <c r="D27" s="59"/>
      <c r="E27" s="484" t="s">
        <v>272</v>
      </c>
      <c r="F27" s="484"/>
      <c r="G27" s="484"/>
      <c r="H27" s="484"/>
      <c r="I27" s="484"/>
      <c r="J27" s="484"/>
      <c r="K27" s="484"/>
      <c r="L27" s="484"/>
      <c r="M27" s="484"/>
      <c r="N27" s="484"/>
      <c r="O27" s="484"/>
      <c r="P27" s="484"/>
      <c r="Q27" s="484"/>
      <c r="R27" s="484"/>
      <c r="S27" s="484"/>
      <c r="T27" s="484"/>
      <c r="U27" s="288"/>
      <c r="V27" s="507">
        <v>6056</v>
      </c>
      <c r="W27" s="507"/>
      <c r="X27" s="507"/>
      <c r="Y27" s="507"/>
      <c r="Z27" s="507"/>
      <c r="AA27" s="507"/>
      <c r="AB27" s="507"/>
      <c r="AC27" s="507"/>
      <c r="AD27" s="507">
        <v>1582</v>
      </c>
      <c r="AE27" s="507"/>
      <c r="AF27" s="507"/>
      <c r="AG27" s="507"/>
      <c r="AH27" s="507"/>
      <c r="AI27" s="507"/>
      <c r="AJ27" s="507"/>
      <c r="AK27" s="507"/>
      <c r="AL27" s="507">
        <v>4387</v>
      </c>
      <c r="AM27" s="507"/>
      <c r="AN27" s="507"/>
      <c r="AO27" s="507"/>
      <c r="AP27" s="507"/>
      <c r="AQ27" s="507"/>
      <c r="AR27" s="507"/>
      <c r="AS27" s="507"/>
      <c r="AT27" s="507">
        <v>2805</v>
      </c>
      <c r="AU27" s="507"/>
      <c r="AV27" s="507"/>
      <c r="AW27" s="507"/>
      <c r="AX27" s="507"/>
      <c r="AY27" s="507"/>
      <c r="AZ27" s="507"/>
      <c r="BA27" s="507"/>
      <c r="BB27" s="507">
        <v>8861</v>
      </c>
      <c r="BC27" s="507"/>
      <c r="BD27" s="507"/>
      <c r="BE27" s="507"/>
      <c r="BF27" s="507"/>
      <c r="BG27" s="507"/>
      <c r="BH27" s="507"/>
      <c r="BI27" s="507"/>
    </row>
    <row r="28" spans="2:61" ht="12.75" customHeight="1">
      <c r="B28" s="84"/>
      <c r="C28" s="59"/>
      <c r="D28" s="59"/>
      <c r="E28" s="484" t="s">
        <v>534</v>
      </c>
      <c r="F28" s="484"/>
      <c r="G28" s="484"/>
      <c r="H28" s="484"/>
      <c r="I28" s="484"/>
      <c r="J28" s="484"/>
      <c r="K28" s="484"/>
      <c r="L28" s="484"/>
      <c r="M28" s="484"/>
      <c r="N28" s="484"/>
      <c r="O28" s="484"/>
      <c r="P28" s="484"/>
      <c r="Q28" s="484"/>
      <c r="R28" s="484"/>
      <c r="S28" s="484"/>
      <c r="T28" s="484"/>
      <c r="U28" s="288"/>
      <c r="V28" s="507">
        <v>8388</v>
      </c>
      <c r="W28" s="507"/>
      <c r="X28" s="507"/>
      <c r="Y28" s="507"/>
      <c r="Z28" s="507"/>
      <c r="AA28" s="507"/>
      <c r="AB28" s="507"/>
      <c r="AC28" s="507"/>
      <c r="AD28" s="507">
        <v>2263</v>
      </c>
      <c r="AE28" s="507"/>
      <c r="AF28" s="507"/>
      <c r="AG28" s="507"/>
      <c r="AH28" s="507"/>
      <c r="AI28" s="507"/>
      <c r="AJ28" s="507"/>
      <c r="AK28" s="507"/>
      <c r="AL28" s="507">
        <v>7516</v>
      </c>
      <c r="AM28" s="507"/>
      <c r="AN28" s="507"/>
      <c r="AO28" s="507"/>
      <c r="AP28" s="507"/>
      <c r="AQ28" s="507"/>
      <c r="AR28" s="507"/>
      <c r="AS28" s="507"/>
      <c r="AT28" s="507">
        <v>5253</v>
      </c>
      <c r="AU28" s="507"/>
      <c r="AV28" s="507"/>
      <c r="AW28" s="507"/>
      <c r="AX28" s="507"/>
      <c r="AY28" s="507"/>
      <c r="AZ28" s="507"/>
      <c r="BA28" s="507"/>
      <c r="BB28" s="507">
        <v>13641</v>
      </c>
      <c r="BC28" s="507"/>
      <c r="BD28" s="507"/>
      <c r="BE28" s="507"/>
      <c r="BF28" s="507"/>
      <c r="BG28" s="507"/>
      <c r="BH28" s="507"/>
      <c r="BI28" s="507"/>
    </row>
    <row r="29" spans="2:61" ht="12.75" customHeight="1">
      <c r="B29" s="84"/>
      <c r="C29" s="59"/>
      <c r="D29" s="59"/>
      <c r="E29" s="484" t="s">
        <v>536</v>
      </c>
      <c r="F29" s="484"/>
      <c r="G29" s="484"/>
      <c r="H29" s="484"/>
      <c r="I29" s="484"/>
      <c r="J29" s="484"/>
      <c r="K29" s="484"/>
      <c r="L29" s="484"/>
      <c r="M29" s="484"/>
      <c r="N29" s="484"/>
      <c r="O29" s="484"/>
      <c r="P29" s="484"/>
      <c r="Q29" s="484"/>
      <c r="R29" s="484"/>
      <c r="S29" s="484"/>
      <c r="T29" s="484"/>
      <c r="U29" s="288"/>
      <c r="V29" s="507">
        <v>18354</v>
      </c>
      <c r="W29" s="507"/>
      <c r="X29" s="507"/>
      <c r="Y29" s="507"/>
      <c r="Z29" s="507"/>
      <c r="AA29" s="507"/>
      <c r="AB29" s="507"/>
      <c r="AC29" s="507"/>
      <c r="AD29" s="507">
        <v>7342</v>
      </c>
      <c r="AE29" s="507"/>
      <c r="AF29" s="507"/>
      <c r="AG29" s="507"/>
      <c r="AH29" s="507"/>
      <c r="AI29" s="507"/>
      <c r="AJ29" s="507"/>
      <c r="AK29" s="507"/>
      <c r="AL29" s="507">
        <v>10568</v>
      </c>
      <c r="AM29" s="507"/>
      <c r="AN29" s="507"/>
      <c r="AO29" s="507"/>
      <c r="AP29" s="507"/>
      <c r="AQ29" s="507"/>
      <c r="AR29" s="507"/>
      <c r="AS29" s="507"/>
      <c r="AT29" s="507">
        <v>3226</v>
      </c>
      <c r="AU29" s="507"/>
      <c r="AV29" s="507"/>
      <c r="AW29" s="507"/>
      <c r="AX29" s="507"/>
      <c r="AY29" s="507"/>
      <c r="AZ29" s="507"/>
      <c r="BA29" s="507"/>
      <c r="BB29" s="507">
        <v>21580</v>
      </c>
      <c r="BC29" s="507"/>
      <c r="BD29" s="507"/>
      <c r="BE29" s="507"/>
      <c r="BF29" s="507"/>
      <c r="BG29" s="507"/>
      <c r="BH29" s="507"/>
      <c r="BI29" s="507"/>
    </row>
    <row r="30" spans="2:61" ht="12.75" customHeight="1">
      <c r="B30" s="84"/>
      <c r="C30" s="59"/>
      <c r="D30" s="59"/>
      <c r="E30" s="484" t="s">
        <v>538</v>
      </c>
      <c r="F30" s="484"/>
      <c r="G30" s="484"/>
      <c r="H30" s="484"/>
      <c r="I30" s="484"/>
      <c r="J30" s="484"/>
      <c r="K30" s="484"/>
      <c r="L30" s="484"/>
      <c r="M30" s="484"/>
      <c r="N30" s="484"/>
      <c r="O30" s="484"/>
      <c r="P30" s="484"/>
      <c r="Q30" s="484"/>
      <c r="R30" s="484"/>
      <c r="S30" s="484"/>
      <c r="T30" s="484"/>
      <c r="U30" s="288"/>
      <c r="V30" s="507">
        <v>10497</v>
      </c>
      <c r="W30" s="507"/>
      <c r="X30" s="507"/>
      <c r="Y30" s="507"/>
      <c r="Z30" s="507"/>
      <c r="AA30" s="507"/>
      <c r="AB30" s="507"/>
      <c r="AC30" s="507"/>
      <c r="AD30" s="507">
        <v>5635</v>
      </c>
      <c r="AE30" s="507"/>
      <c r="AF30" s="507"/>
      <c r="AG30" s="507"/>
      <c r="AH30" s="507"/>
      <c r="AI30" s="507"/>
      <c r="AJ30" s="507"/>
      <c r="AK30" s="507"/>
      <c r="AL30" s="507">
        <v>9664</v>
      </c>
      <c r="AM30" s="507"/>
      <c r="AN30" s="507"/>
      <c r="AO30" s="507"/>
      <c r="AP30" s="507"/>
      <c r="AQ30" s="507"/>
      <c r="AR30" s="507"/>
      <c r="AS30" s="507"/>
      <c r="AT30" s="507">
        <v>4029</v>
      </c>
      <c r="AU30" s="507"/>
      <c r="AV30" s="507"/>
      <c r="AW30" s="507"/>
      <c r="AX30" s="507"/>
      <c r="AY30" s="507"/>
      <c r="AZ30" s="507"/>
      <c r="BA30" s="507"/>
      <c r="BB30" s="507">
        <v>14526</v>
      </c>
      <c r="BC30" s="507"/>
      <c r="BD30" s="507"/>
      <c r="BE30" s="507"/>
      <c r="BF30" s="507"/>
      <c r="BG30" s="507"/>
      <c r="BH30" s="507"/>
      <c r="BI30" s="507"/>
    </row>
    <row r="31" spans="2:61" ht="12.75" customHeight="1">
      <c r="B31" s="84"/>
      <c r="C31" s="59"/>
      <c r="D31" s="59"/>
      <c r="E31" s="484" t="s">
        <v>540</v>
      </c>
      <c r="F31" s="484"/>
      <c r="G31" s="484"/>
      <c r="H31" s="484"/>
      <c r="I31" s="484"/>
      <c r="J31" s="484"/>
      <c r="K31" s="484"/>
      <c r="L31" s="484"/>
      <c r="M31" s="484"/>
      <c r="N31" s="484"/>
      <c r="O31" s="484"/>
      <c r="P31" s="484"/>
      <c r="Q31" s="484"/>
      <c r="R31" s="484"/>
      <c r="S31" s="484"/>
      <c r="T31" s="484"/>
      <c r="U31" s="288"/>
      <c r="V31" s="507">
        <v>1672</v>
      </c>
      <c r="W31" s="507"/>
      <c r="X31" s="507"/>
      <c r="Y31" s="507"/>
      <c r="Z31" s="507"/>
      <c r="AA31" s="507"/>
      <c r="AB31" s="507"/>
      <c r="AC31" s="507"/>
      <c r="AD31" s="507">
        <v>863</v>
      </c>
      <c r="AE31" s="507"/>
      <c r="AF31" s="507"/>
      <c r="AG31" s="507"/>
      <c r="AH31" s="507"/>
      <c r="AI31" s="507"/>
      <c r="AJ31" s="507"/>
      <c r="AK31" s="507"/>
      <c r="AL31" s="507">
        <v>923</v>
      </c>
      <c r="AM31" s="507"/>
      <c r="AN31" s="507"/>
      <c r="AO31" s="507"/>
      <c r="AP31" s="507"/>
      <c r="AQ31" s="507"/>
      <c r="AR31" s="507"/>
      <c r="AS31" s="507"/>
      <c r="AT31" s="507">
        <v>60</v>
      </c>
      <c r="AU31" s="507"/>
      <c r="AV31" s="507"/>
      <c r="AW31" s="507"/>
      <c r="AX31" s="507"/>
      <c r="AY31" s="507"/>
      <c r="AZ31" s="507"/>
      <c r="BA31" s="507"/>
      <c r="BB31" s="507">
        <v>1732</v>
      </c>
      <c r="BC31" s="507"/>
      <c r="BD31" s="507"/>
      <c r="BE31" s="507"/>
      <c r="BF31" s="507"/>
      <c r="BG31" s="507"/>
      <c r="BH31" s="507"/>
      <c r="BI31" s="507"/>
    </row>
    <row r="32" spans="2:61" ht="12.75" customHeight="1">
      <c r="B32" s="84"/>
      <c r="C32" s="59"/>
      <c r="D32" s="59"/>
      <c r="E32" s="512" t="s">
        <v>541</v>
      </c>
      <c r="F32" s="512"/>
      <c r="G32" s="512"/>
      <c r="H32" s="512"/>
      <c r="I32" s="512"/>
      <c r="J32" s="512"/>
      <c r="K32" s="512"/>
      <c r="L32" s="512"/>
      <c r="M32" s="512"/>
      <c r="N32" s="512"/>
      <c r="O32" s="512"/>
      <c r="P32" s="512"/>
      <c r="Q32" s="512"/>
      <c r="R32" s="512"/>
      <c r="S32" s="512"/>
      <c r="T32" s="512"/>
      <c r="U32" s="288"/>
      <c r="V32" s="507">
        <v>28591</v>
      </c>
      <c r="W32" s="507"/>
      <c r="X32" s="507"/>
      <c r="Y32" s="507"/>
      <c r="Z32" s="507"/>
      <c r="AA32" s="507"/>
      <c r="AB32" s="507"/>
      <c r="AC32" s="507"/>
      <c r="AD32" s="507">
        <v>9736</v>
      </c>
      <c r="AE32" s="507"/>
      <c r="AF32" s="507"/>
      <c r="AG32" s="507"/>
      <c r="AH32" s="507"/>
      <c r="AI32" s="507"/>
      <c r="AJ32" s="507"/>
      <c r="AK32" s="507"/>
      <c r="AL32" s="507">
        <v>33766</v>
      </c>
      <c r="AM32" s="507"/>
      <c r="AN32" s="507"/>
      <c r="AO32" s="507"/>
      <c r="AP32" s="507"/>
      <c r="AQ32" s="507"/>
      <c r="AR32" s="507"/>
      <c r="AS32" s="507"/>
      <c r="AT32" s="507">
        <v>24030</v>
      </c>
      <c r="AU32" s="507"/>
      <c r="AV32" s="507"/>
      <c r="AW32" s="507"/>
      <c r="AX32" s="507"/>
      <c r="AY32" s="507"/>
      <c r="AZ32" s="507"/>
      <c r="BA32" s="507"/>
      <c r="BB32" s="507">
        <v>52621</v>
      </c>
      <c r="BC32" s="507"/>
      <c r="BD32" s="507"/>
      <c r="BE32" s="507"/>
      <c r="BF32" s="507"/>
      <c r="BG32" s="507"/>
      <c r="BH32" s="507"/>
      <c r="BI32" s="507"/>
    </row>
    <row r="33" spans="2:61" ht="12.75" customHeight="1">
      <c r="B33" s="84"/>
      <c r="C33" s="59"/>
      <c r="D33" s="59"/>
      <c r="E33" s="484" t="s">
        <v>273</v>
      </c>
      <c r="F33" s="484"/>
      <c r="G33" s="484"/>
      <c r="H33" s="484"/>
      <c r="I33" s="484"/>
      <c r="J33" s="484"/>
      <c r="K33" s="484"/>
      <c r="L33" s="484"/>
      <c r="M33" s="484"/>
      <c r="N33" s="484"/>
      <c r="O33" s="484"/>
      <c r="P33" s="484"/>
      <c r="Q33" s="484"/>
      <c r="R33" s="484"/>
      <c r="S33" s="484"/>
      <c r="T33" s="484"/>
      <c r="U33" s="288"/>
      <c r="V33" s="507">
        <v>7861</v>
      </c>
      <c r="W33" s="507"/>
      <c r="X33" s="507"/>
      <c r="Y33" s="507"/>
      <c r="Z33" s="507"/>
      <c r="AA33" s="507"/>
      <c r="AB33" s="507"/>
      <c r="AC33" s="507"/>
      <c r="AD33" s="507">
        <v>4937</v>
      </c>
      <c r="AE33" s="507"/>
      <c r="AF33" s="507"/>
      <c r="AG33" s="507"/>
      <c r="AH33" s="507"/>
      <c r="AI33" s="507"/>
      <c r="AJ33" s="507"/>
      <c r="AK33" s="507"/>
      <c r="AL33" s="507">
        <v>5688</v>
      </c>
      <c r="AM33" s="507"/>
      <c r="AN33" s="507"/>
      <c r="AO33" s="507"/>
      <c r="AP33" s="507"/>
      <c r="AQ33" s="507"/>
      <c r="AR33" s="507"/>
      <c r="AS33" s="507"/>
      <c r="AT33" s="507">
        <v>751</v>
      </c>
      <c r="AU33" s="507"/>
      <c r="AV33" s="507"/>
      <c r="AW33" s="507"/>
      <c r="AX33" s="507"/>
      <c r="AY33" s="507"/>
      <c r="AZ33" s="507"/>
      <c r="BA33" s="507"/>
      <c r="BB33" s="507">
        <v>8612</v>
      </c>
      <c r="BC33" s="507"/>
      <c r="BD33" s="507"/>
      <c r="BE33" s="507"/>
      <c r="BF33" s="507"/>
      <c r="BG33" s="507"/>
      <c r="BH33" s="507"/>
      <c r="BI33" s="507"/>
    </row>
    <row r="34" spans="2:61" ht="12.75" customHeight="1">
      <c r="B34" s="84"/>
      <c r="C34" s="59"/>
      <c r="D34" s="59"/>
      <c r="E34" s="59"/>
      <c r="F34" s="59"/>
      <c r="G34" s="59"/>
      <c r="H34" s="59"/>
      <c r="I34" s="59"/>
      <c r="J34" s="59"/>
      <c r="K34" s="59"/>
      <c r="L34" s="59"/>
      <c r="M34" s="59"/>
      <c r="N34" s="59"/>
      <c r="O34" s="59"/>
      <c r="P34" s="59"/>
      <c r="Q34" s="59"/>
      <c r="R34" s="59"/>
      <c r="S34" s="59"/>
      <c r="T34" s="59"/>
      <c r="U34" s="288"/>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6"/>
      <c r="AU34" s="286"/>
      <c r="AV34" s="286"/>
      <c r="AW34" s="286"/>
      <c r="AX34" s="286"/>
      <c r="AY34" s="286"/>
      <c r="AZ34" s="286"/>
      <c r="BA34" s="286"/>
      <c r="BB34" s="284"/>
      <c r="BC34" s="284"/>
      <c r="BD34" s="284"/>
      <c r="BE34" s="284"/>
      <c r="BF34" s="284"/>
      <c r="BG34" s="284"/>
      <c r="BH34" s="284"/>
      <c r="BI34" s="284"/>
    </row>
    <row r="35" spans="2:61" s="249" customFormat="1" ht="12.75" customHeight="1">
      <c r="B35" s="250"/>
      <c r="C35" s="481" t="s">
        <v>274</v>
      </c>
      <c r="D35" s="481"/>
      <c r="E35" s="481"/>
      <c r="F35" s="481"/>
      <c r="G35" s="481"/>
      <c r="H35" s="481"/>
      <c r="I35" s="481"/>
      <c r="J35" s="481"/>
      <c r="K35" s="481"/>
      <c r="L35" s="481"/>
      <c r="M35" s="481"/>
      <c r="N35" s="481"/>
      <c r="O35" s="481"/>
      <c r="P35" s="481"/>
      <c r="Q35" s="481"/>
      <c r="R35" s="481"/>
      <c r="S35" s="481"/>
      <c r="T35" s="481"/>
      <c r="U35" s="251"/>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4">
        <v>2234</v>
      </c>
      <c r="AU35" s="514"/>
      <c r="AV35" s="514"/>
      <c r="AW35" s="514"/>
      <c r="AX35" s="514"/>
      <c r="AY35" s="514"/>
      <c r="AZ35" s="514"/>
      <c r="BA35" s="514"/>
      <c r="BB35" s="513">
        <v>9544</v>
      </c>
      <c r="BC35" s="513"/>
      <c r="BD35" s="513"/>
      <c r="BE35" s="513"/>
      <c r="BF35" s="513"/>
      <c r="BG35" s="513"/>
      <c r="BH35" s="513"/>
      <c r="BI35" s="513"/>
    </row>
    <row r="36" spans="2:61" ht="12.75" customHeight="1">
      <c r="B36" s="261"/>
      <c r="C36" s="289"/>
      <c r="D36" s="289"/>
      <c r="E36" s="289"/>
      <c r="F36" s="289"/>
      <c r="G36" s="289"/>
      <c r="H36" s="289"/>
      <c r="I36" s="289"/>
      <c r="J36" s="289"/>
      <c r="K36" s="289"/>
      <c r="L36" s="289"/>
      <c r="M36" s="289"/>
      <c r="N36" s="289"/>
      <c r="O36" s="289"/>
      <c r="P36" s="289"/>
      <c r="Q36" s="289"/>
      <c r="R36" s="289"/>
      <c r="S36" s="289"/>
      <c r="T36" s="261"/>
      <c r="U36" s="262"/>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row>
    <row r="37" spans="2:61" ht="12" customHeight="1">
      <c r="B37" s="530" t="s">
        <v>256</v>
      </c>
      <c r="C37" s="530"/>
      <c r="D37" s="530"/>
      <c r="E37" s="263" t="s">
        <v>275</v>
      </c>
      <c r="F37" s="341" t="s">
        <v>547</v>
      </c>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row>
    <row r="38" spans="2:61" ht="12" customHeight="1">
      <c r="B38" s="59"/>
      <c r="C38" s="59"/>
      <c r="D38" s="59"/>
      <c r="E38" s="263"/>
      <c r="F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row>
    <row r="39" ht="12" customHeight="1"/>
    <row r="40" ht="12" customHeight="1"/>
    <row r="41" spans="2:61" s="243" customFormat="1" ht="18" customHeight="1">
      <c r="B41" s="464" t="s">
        <v>408</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row>
    <row r="42" spans="2:61" ht="12.75" customHeight="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X42" s="84"/>
      <c r="AY42" s="84"/>
      <c r="AZ42" s="84"/>
      <c r="BA42" s="84"/>
      <c r="BB42" s="84"/>
      <c r="BC42" s="84"/>
      <c r="BD42" s="84"/>
      <c r="BE42" s="84"/>
      <c r="BF42" s="84"/>
      <c r="BG42" s="84"/>
      <c r="BH42" s="84"/>
      <c r="BI42" s="82" t="s">
        <v>483</v>
      </c>
    </row>
    <row r="43" spans="2:61" ht="19.5" customHeight="1">
      <c r="B43" s="491" t="s">
        <v>216</v>
      </c>
      <c r="C43" s="488"/>
      <c r="D43" s="488"/>
      <c r="E43" s="488"/>
      <c r="F43" s="488"/>
      <c r="G43" s="488"/>
      <c r="H43" s="488"/>
      <c r="I43" s="488"/>
      <c r="J43" s="488"/>
      <c r="K43" s="488"/>
      <c r="L43" s="488"/>
      <c r="M43" s="488"/>
      <c r="N43" s="488"/>
      <c r="O43" s="488"/>
      <c r="P43" s="488"/>
      <c r="Q43" s="504" t="s">
        <v>181</v>
      </c>
      <c r="R43" s="504"/>
      <c r="S43" s="504"/>
      <c r="T43" s="504"/>
      <c r="U43" s="504"/>
      <c r="V43" s="488"/>
      <c r="W43" s="488"/>
      <c r="X43" s="488"/>
      <c r="Y43" s="488"/>
      <c r="Z43" s="488"/>
      <c r="AA43" s="488"/>
      <c r="AB43" s="488"/>
      <c r="AC43" s="488"/>
      <c r="AD43" s="488"/>
      <c r="AE43" s="488"/>
      <c r="AF43" s="504" t="s">
        <v>217</v>
      </c>
      <c r="AG43" s="504"/>
      <c r="AH43" s="504"/>
      <c r="AI43" s="504"/>
      <c r="AJ43" s="504"/>
      <c r="AK43" s="488"/>
      <c r="AL43" s="488"/>
      <c r="AM43" s="488"/>
      <c r="AN43" s="488"/>
      <c r="AO43" s="488"/>
      <c r="AP43" s="488"/>
      <c r="AQ43" s="488"/>
      <c r="AR43" s="488"/>
      <c r="AS43" s="488"/>
      <c r="AT43" s="488"/>
      <c r="AU43" s="504" t="s">
        <v>352</v>
      </c>
      <c r="AV43" s="504"/>
      <c r="AW43" s="504"/>
      <c r="AX43" s="504"/>
      <c r="AY43" s="504"/>
      <c r="AZ43" s="488"/>
      <c r="BA43" s="488"/>
      <c r="BB43" s="488"/>
      <c r="BC43" s="488"/>
      <c r="BD43" s="488"/>
      <c r="BE43" s="488"/>
      <c r="BF43" s="488"/>
      <c r="BG43" s="488"/>
      <c r="BH43" s="488"/>
      <c r="BI43" s="489"/>
    </row>
    <row r="44" spans="2:61" ht="19.5" customHeight="1">
      <c r="B44" s="493"/>
      <c r="C44" s="501"/>
      <c r="D44" s="501"/>
      <c r="E44" s="501"/>
      <c r="F44" s="501"/>
      <c r="G44" s="501"/>
      <c r="H44" s="501"/>
      <c r="I44" s="501"/>
      <c r="J44" s="501"/>
      <c r="K44" s="501"/>
      <c r="L44" s="501"/>
      <c r="M44" s="501"/>
      <c r="N44" s="501"/>
      <c r="O44" s="501"/>
      <c r="P44" s="501"/>
      <c r="Q44" s="501" t="s">
        <v>363</v>
      </c>
      <c r="R44" s="501"/>
      <c r="S44" s="501"/>
      <c r="T44" s="501"/>
      <c r="U44" s="501"/>
      <c r="V44" s="531" t="s">
        <v>182</v>
      </c>
      <c r="W44" s="531"/>
      <c r="X44" s="531"/>
      <c r="Y44" s="531"/>
      <c r="Z44" s="531"/>
      <c r="AA44" s="531" t="s">
        <v>183</v>
      </c>
      <c r="AB44" s="531"/>
      <c r="AC44" s="531"/>
      <c r="AD44" s="531"/>
      <c r="AE44" s="531"/>
      <c r="AF44" s="501" t="s">
        <v>363</v>
      </c>
      <c r="AG44" s="501"/>
      <c r="AH44" s="501"/>
      <c r="AI44" s="501"/>
      <c r="AJ44" s="501"/>
      <c r="AK44" s="531" t="s">
        <v>182</v>
      </c>
      <c r="AL44" s="531"/>
      <c r="AM44" s="531"/>
      <c r="AN44" s="531"/>
      <c r="AO44" s="531"/>
      <c r="AP44" s="531" t="s">
        <v>183</v>
      </c>
      <c r="AQ44" s="531"/>
      <c r="AR44" s="531"/>
      <c r="AS44" s="531"/>
      <c r="AT44" s="531"/>
      <c r="AU44" s="501" t="s">
        <v>363</v>
      </c>
      <c r="AV44" s="501"/>
      <c r="AW44" s="501"/>
      <c r="AX44" s="501"/>
      <c r="AY44" s="501"/>
      <c r="AZ44" s="531" t="s">
        <v>182</v>
      </c>
      <c r="BA44" s="531"/>
      <c r="BB44" s="531"/>
      <c r="BC44" s="531"/>
      <c r="BD44" s="531"/>
      <c r="BE44" s="531" t="s">
        <v>183</v>
      </c>
      <c r="BF44" s="531"/>
      <c r="BG44" s="531"/>
      <c r="BH44" s="531"/>
      <c r="BI44" s="532"/>
    </row>
    <row r="45" spans="4:21" ht="12.75" customHeight="1">
      <c r="D45" s="84"/>
      <c r="E45" s="84"/>
      <c r="F45" s="84"/>
      <c r="G45" s="84"/>
      <c r="H45" s="84"/>
      <c r="I45" s="84"/>
      <c r="J45" s="84"/>
      <c r="K45" s="84"/>
      <c r="L45" s="84"/>
      <c r="M45" s="84"/>
      <c r="N45" s="84"/>
      <c r="O45" s="84"/>
      <c r="P45" s="84"/>
      <c r="Q45" s="268"/>
      <c r="R45" s="290"/>
      <c r="S45" s="290"/>
      <c r="T45" s="290"/>
      <c r="U45" s="290"/>
    </row>
    <row r="46" spans="3:61" s="249" customFormat="1" ht="12.75" customHeight="1">
      <c r="C46" s="481" t="s">
        <v>181</v>
      </c>
      <c r="D46" s="481"/>
      <c r="E46" s="481"/>
      <c r="F46" s="481"/>
      <c r="G46" s="481"/>
      <c r="H46" s="481"/>
      <c r="I46" s="481"/>
      <c r="J46" s="481"/>
      <c r="K46" s="481"/>
      <c r="L46" s="481"/>
      <c r="M46" s="481"/>
      <c r="N46" s="481"/>
      <c r="O46" s="481"/>
      <c r="P46" s="58"/>
      <c r="Q46" s="534">
        <v>563681</v>
      </c>
      <c r="R46" s="533"/>
      <c r="S46" s="533"/>
      <c r="T46" s="533"/>
      <c r="U46" s="533"/>
      <c r="V46" s="533">
        <v>274713</v>
      </c>
      <c r="W46" s="533"/>
      <c r="X46" s="533"/>
      <c r="Y46" s="533"/>
      <c r="Z46" s="533"/>
      <c r="AA46" s="533">
        <v>288968</v>
      </c>
      <c r="AB46" s="533"/>
      <c r="AC46" s="533"/>
      <c r="AD46" s="533"/>
      <c r="AE46" s="533"/>
      <c r="AF46" s="533">
        <v>432926</v>
      </c>
      <c r="AG46" s="533"/>
      <c r="AH46" s="533"/>
      <c r="AI46" s="533"/>
      <c r="AJ46" s="533"/>
      <c r="AK46" s="533">
        <v>215963</v>
      </c>
      <c r="AL46" s="533"/>
      <c r="AM46" s="533"/>
      <c r="AN46" s="533"/>
      <c r="AO46" s="533"/>
      <c r="AP46" s="533">
        <v>216963</v>
      </c>
      <c r="AQ46" s="533"/>
      <c r="AR46" s="533"/>
      <c r="AS46" s="533"/>
      <c r="AT46" s="533"/>
      <c r="AU46" s="533">
        <v>130755</v>
      </c>
      <c r="AV46" s="533"/>
      <c r="AW46" s="533"/>
      <c r="AX46" s="533"/>
      <c r="AY46" s="533"/>
      <c r="AZ46" s="533">
        <v>58750</v>
      </c>
      <c r="BA46" s="533"/>
      <c r="BB46" s="533"/>
      <c r="BC46" s="533"/>
      <c r="BD46" s="533"/>
      <c r="BE46" s="533">
        <v>72005</v>
      </c>
      <c r="BF46" s="533"/>
      <c r="BG46" s="533"/>
      <c r="BH46" s="533"/>
      <c r="BI46" s="533"/>
    </row>
    <row r="47" spans="3:61" s="249" customFormat="1" ht="12.75" customHeight="1">
      <c r="C47" s="58"/>
      <c r="D47" s="58"/>
      <c r="E47" s="58"/>
      <c r="F47" s="58"/>
      <c r="G47" s="58"/>
      <c r="H47" s="58"/>
      <c r="I47" s="58"/>
      <c r="J47" s="58"/>
      <c r="K47" s="58"/>
      <c r="L47" s="58"/>
      <c r="M47" s="58"/>
      <c r="N47" s="58"/>
      <c r="O47" s="58"/>
      <c r="P47" s="58"/>
      <c r="Q47" s="291"/>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row>
    <row r="48" spans="3:61" ht="12.75" customHeight="1">
      <c r="C48" s="65"/>
      <c r="D48" s="59"/>
      <c r="E48" s="59"/>
      <c r="F48" s="59"/>
      <c r="G48" s="59"/>
      <c r="H48" s="59"/>
      <c r="I48" s="59"/>
      <c r="J48" s="59"/>
      <c r="K48" s="59"/>
      <c r="L48" s="59"/>
      <c r="M48" s="59"/>
      <c r="N48" s="59"/>
      <c r="O48" s="59"/>
      <c r="P48" s="59"/>
      <c r="Q48" s="293"/>
      <c r="R48" s="294"/>
      <c r="S48" s="294"/>
      <c r="T48" s="295"/>
      <c r="U48" s="295"/>
      <c r="V48" s="296"/>
      <c r="W48" s="296"/>
      <c r="X48" s="296"/>
      <c r="Y48" s="297"/>
      <c r="Z48" s="295"/>
      <c r="AA48" s="296"/>
      <c r="AB48" s="296"/>
      <c r="AC48" s="297"/>
      <c r="AD48" s="297"/>
      <c r="AE48" s="297"/>
      <c r="AF48" s="295"/>
      <c r="AG48" s="294"/>
      <c r="AH48" s="294"/>
      <c r="AI48" s="295"/>
      <c r="AJ48" s="295"/>
      <c r="AK48" s="294"/>
      <c r="AL48" s="294"/>
      <c r="AM48" s="294"/>
      <c r="AN48" s="295"/>
      <c r="AO48" s="295"/>
      <c r="AP48" s="294"/>
      <c r="AQ48" s="294"/>
      <c r="AR48" s="295"/>
      <c r="AS48" s="295"/>
      <c r="AT48" s="295"/>
      <c r="AU48" s="294"/>
      <c r="AV48" s="294"/>
      <c r="AW48" s="294"/>
      <c r="AX48" s="295"/>
      <c r="AY48" s="295"/>
      <c r="AZ48" s="294"/>
      <c r="BA48" s="294"/>
      <c r="BB48" s="295"/>
      <c r="BC48" s="295"/>
      <c r="BD48" s="295"/>
      <c r="BE48" s="294"/>
      <c r="BF48" s="294"/>
      <c r="BG48" s="295"/>
      <c r="BH48" s="295"/>
      <c r="BI48" s="295"/>
    </row>
    <row r="49" spans="3:61" s="249" customFormat="1" ht="12.75" customHeight="1">
      <c r="C49" s="481" t="s">
        <v>218</v>
      </c>
      <c r="D49" s="481"/>
      <c r="E49" s="481"/>
      <c r="F49" s="481"/>
      <c r="G49" s="481"/>
      <c r="H49" s="481"/>
      <c r="I49" s="481"/>
      <c r="J49" s="481"/>
      <c r="K49" s="481"/>
      <c r="L49" s="481"/>
      <c r="M49" s="481"/>
      <c r="N49" s="481"/>
      <c r="O49" s="481"/>
      <c r="P49" s="58"/>
      <c r="Q49" s="534">
        <f>(AF49+AU49)</f>
        <v>288895</v>
      </c>
      <c r="R49" s="533"/>
      <c r="S49" s="533"/>
      <c r="T49" s="533"/>
      <c r="U49" s="533"/>
      <c r="V49" s="533">
        <f>(AK49+AZ49)</f>
        <v>171411</v>
      </c>
      <c r="W49" s="533"/>
      <c r="X49" s="533"/>
      <c r="Y49" s="533"/>
      <c r="Z49" s="533"/>
      <c r="AA49" s="533">
        <f>(AP49+BE49)</f>
        <v>117484</v>
      </c>
      <c r="AB49" s="533"/>
      <c r="AC49" s="533"/>
      <c r="AD49" s="533"/>
      <c r="AE49" s="533"/>
      <c r="AF49" s="533">
        <v>260518</v>
      </c>
      <c r="AG49" s="533"/>
      <c r="AH49" s="533"/>
      <c r="AI49" s="533"/>
      <c r="AJ49" s="533"/>
      <c r="AK49" s="533">
        <v>152532</v>
      </c>
      <c r="AL49" s="533"/>
      <c r="AM49" s="533"/>
      <c r="AN49" s="533"/>
      <c r="AO49" s="533"/>
      <c r="AP49" s="533">
        <v>107986</v>
      </c>
      <c r="AQ49" s="533"/>
      <c r="AR49" s="533"/>
      <c r="AS49" s="533"/>
      <c r="AT49" s="533"/>
      <c r="AU49" s="533">
        <v>28377</v>
      </c>
      <c r="AV49" s="533"/>
      <c r="AW49" s="533"/>
      <c r="AX49" s="533"/>
      <c r="AY49" s="533"/>
      <c r="AZ49" s="533">
        <v>18879</v>
      </c>
      <c r="BA49" s="533"/>
      <c r="BB49" s="533"/>
      <c r="BC49" s="533"/>
      <c r="BD49" s="533"/>
      <c r="BE49" s="533">
        <v>9498</v>
      </c>
      <c r="BF49" s="533"/>
      <c r="BG49" s="533"/>
      <c r="BH49" s="533"/>
      <c r="BI49" s="533"/>
    </row>
    <row r="50" spans="3:61" ht="12.75" customHeight="1">
      <c r="C50" s="59"/>
      <c r="D50" s="59"/>
      <c r="E50" s="59"/>
      <c r="F50" s="59"/>
      <c r="G50" s="59"/>
      <c r="H50" s="59"/>
      <c r="I50" s="59"/>
      <c r="J50" s="59"/>
      <c r="K50" s="59"/>
      <c r="L50" s="59"/>
      <c r="M50" s="59"/>
      <c r="N50" s="59"/>
      <c r="O50" s="59"/>
      <c r="P50" s="59"/>
      <c r="Q50" s="298"/>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row>
    <row r="51" spans="3:61" ht="12.75" customHeight="1">
      <c r="C51" s="65"/>
      <c r="D51" s="484" t="s">
        <v>219</v>
      </c>
      <c r="E51" s="484"/>
      <c r="F51" s="484"/>
      <c r="G51" s="484"/>
      <c r="H51" s="484"/>
      <c r="I51" s="484"/>
      <c r="J51" s="484"/>
      <c r="K51" s="484"/>
      <c r="L51" s="484"/>
      <c r="M51" s="484"/>
      <c r="N51" s="484"/>
      <c r="O51" s="484"/>
      <c r="P51" s="59"/>
      <c r="Q51" s="535">
        <f aca="true" t="shared" si="0" ref="Q51:Q62">(AF51+AU51)</f>
        <v>274192</v>
      </c>
      <c r="R51" s="536"/>
      <c r="S51" s="536"/>
      <c r="T51" s="536"/>
      <c r="U51" s="536"/>
      <c r="V51" s="536">
        <f aca="true" t="shared" si="1" ref="V51:V56">(AK51+AZ51)</f>
        <v>162226</v>
      </c>
      <c r="W51" s="536"/>
      <c r="X51" s="536"/>
      <c r="Y51" s="536"/>
      <c r="Z51" s="536"/>
      <c r="AA51" s="536">
        <f aca="true" t="shared" si="2" ref="AA51:AA56">(AP51+BE51)</f>
        <v>111966</v>
      </c>
      <c r="AB51" s="536"/>
      <c r="AC51" s="536"/>
      <c r="AD51" s="536"/>
      <c r="AE51" s="536"/>
      <c r="AF51" s="536">
        <v>246982</v>
      </c>
      <c r="AG51" s="536"/>
      <c r="AH51" s="536"/>
      <c r="AI51" s="536"/>
      <c r="AJ51" s="536"/>
      <c r="AK51" s="536">
        <v>144317</v>
      </c>
      <c r="AL51" s="536"/>
      <c r="AM51" s="536"/>
      <c r="AN51" s="536"/>
      <c r="AO51" s="536"/>
      <c r="AP51" s="536">
        <v>102665</v>
      </c>
      <c r="AQ51" s="536"/>
      <c r="AR51" s="536"/>
      <c r="AS51" s="536"/>
      <c r="AT51" s="536"/>
      <c r="AU51" s="536">
        <v>27210</v>
      </c>
      <c r="AV51" s="536"/>
      <c r="AW51" s="536"/>
      <c r="AX51" s="536"/>
      <c r="AY51" s="536"/>
      <c r="AZ51" s="536">
        <v>17909</v>
      </c>
      <c r="BA51" s="536"/>
      <c r="BB51" s="536"/>
      <c r="BC51" s="536"/>
      <c r="BD51" s="536"/>
      <c r="BE51" s="536">
        <v>9301</v>
      </c>
      <c r="BF51" s="536"/>
      <c r="BG51" s="536"/>
      <c r="BH51" s="536"/>
      <c r="BI51" s="536"/>
    </row>
    <row r="52" spans="3:61" ht="12.75" customHeight="1">
      <c r="C52" s="65"/>
      <c r="D52" s="59"/>
      <c r="E52" s="484" t="s">
        <v>220</v>
      </c>
      <c r="F52" s="484"/>
      <c r="G52" s="484"/>
      <c r="H52" s="484"/>
      <c r="I52" s="484"/>
      <c r="J52" s="484"/>
      <c r="K52" s="484"/>
      <c r="L52" s="484"/>
      <c r="M52" s="484"/>
      <c r="N52" s="484"/>
      <c r="O52" s="484"/>
      <c r="P52" s="59"/>
      <c r="Q52" s="535">
        <f t="shared" si="0"/>
        <v>224074</v>
      </c>
      <c r="R52" s="536"/>
      <c r="S52" s="536"/>
      <c r="T52" s="536"/>
      <c r="U52" s="536"/>
      <c r="V52" s="536">
        <f t="shared" si="1"/>
        <v>152981</v>
      </c>
      <c r="W52" s="536"/>
      <c r="X52" s="536"/>
      <c r="Y52" s="536"/>
      <c r="Z52" s="536"/>
      <c r="AA52" s="536">
        <f t="shared" si="2"/>
        <v>71093</v>
      </c>
      <c r="AB52" s="536"/>
      <c r="AC52" s="536"/>
      <c r="AD52" s="536"/>
      <c r="AE52" s="536"/>
      <c r="AF52" s="536">
        <v>204287</v>
      </c>
      <c r="AG52" s="536"/>
      <c r="AH52" s="536"/>
      <c r="AI52" s="536"/>
      <c r="AJ52" s="536"/>
      <c r="AK52" s="536">
        <v>137417</v>
      </c>
      <c r="AL52" s="536"/>
      <c r="AM52" s="536"/>
      <c r="AN52" s="536"/>
      <c r="AO52" s="536"/>
      <c r="AP52" s="536">
        <v>66870</v>
      </c>
      <c r="AQ52" s="536"/>
      <c r="AR52" s="536"/>
      <c r="AS52" s="536"/>
      <c r="AT52" s="536"/>
      <c r="AU52" s="536">
        <v>19787</v>
      </c>
      <c r="AV52" s="536"/>
      <c r="AW52" s="536"/>
      <c r="AX52" s="536"/>
      <c r="AY52" s="536"/>
      <c r="AZ52" s="536">
        <v>15564</v>
      </c>
      <c r="BA52" s="536"/>
      <c r="BB52" s="536"/>
      <c r="BC52" s="536"/>
      <c r="BD52" s="536"/>
      <c r="BE52" s="536">
        <v>4223</v>
      </c>
      <c r="BF52" s="536"/>
      <c r="BG52" s="536"/>
      <c r="BH52" s="536"/>
      <c r="BI52" s="536"/>
    </row>
    <row r="53" spans="3:61" ht="12.75" customHeight="1">
      <c r="C53" s="65"/>
      <c r="D53" s="59"/>
      <c r="E53" s="484" t="s">
        <v>221</v>
      </c>
      <c r="F53" s="484"/>
      <c r="G53" s="484"/>
      <c r="H53" s="484"/>
      <c r="I53" s="484"/>
      <c r="J53" s="484"/>
      <c r="K53" s="484"/>
      <c r="L53" s="484"/>
      <c r="M53" s="484"/>
      <c r="N53" s="484"/>
      <c r="O53" s="484"/>
      <c r="P53" s="59"/>
      <c r="Q53" s="535">
        <f t="shared" si="0"/>
        <v>37264</v>
      </c>
      <c r="R53" s="536"/>
      <c r="S53" s="536"/>
      <c r="T53" s="536"/>
      <c r="U53" s="536"/>
      <c r="V53" s="536">
        <f t="shared" si="1"/>
        <v>2266</v>
      </c>
      <c r="W53" s="536"/>
      <c r="X53" s="536"/>
      <c r="Y53" s="536"/>
      <c r="Z53" s="536"/>
      <c r="AA53" s="536">
        <f t="shared" si="2"/>
        <v>34998</v>
      </c>
      <c r="AB53" s="536"/>
      <c r="AC53" s="536"/>
      <c r="AD53" s="536"/>
      <c r="AE53" s="536"/>
      <c r="AF53" s="536">
        <v>31443</v>
      </c>
      <c r="AG53" s="536"/>
      <c r="AH53" s="536"/>
      <c r="AI53" s="536"/>
      <c r="AJ53" s="536"/>
      <c r="AK53" s="536">
        <v>1167</v>
      </c>
      <c r="AL53" s="536"/>
      <c r="AM53" s="536"/>
      <c r="AN53" s="536"/>
      <c r="AO53" s="536"/>
      <c r="AP53" s="536">
        <v>30276</v>
      </c>
      <c r="AQ53" s="536"/>
      <c r="AR53" s="536"/>
      <c r="AS53" s="536"/>
      <c r="AT53" s="536"/>
      <c r="AU53" s="536">
        <v>5821</v>
      </c>
      <c r="AV53" s="536"/>
      <c r="AW53" s="536"/>
      <c r="AX53" s="536"/>
      <c r="AY53" s="536"/>
      <c r="AZ53" s="536">
        <v>1099</v>
      </c>
      <c r="BA53" s="536"/>
      <c r="BB53" s="536"/>
      <c r="BC53" s="536"/>
      <c r="BD53" s="536"/>
      <c r="BE53" s="536">
        <v>4722</v>
      </c>
      <c r="BF53" s="536"/>
      <c r="BG53" s="536"/>
      <c r="BH53" s="536"/>
      <c r="BI53" s="536"/>
    </row>
    <row r="54" spans="3:61" ht="12.75" customHeight="1">
      <c r="C54" s="65"/>
      <c r="D54" s="59"/>
      <c r="E54" s="484" t="s">
        <v>222</v>
      </c>
      <c r="F54" s="484"/>
      <c r="G54" s="484"/>
      <c r="H54" s="484"/>
      <c r="I54" s="484"/>
      <c r="J54" s="484"/>
      <c r="K54" s="484"/>
      <c r="L54" s="484"/>
      <c r="M54" s="484"/>
      <c r="N54" s="484"/>
      <c r="O54" s="484"/>
      <c r="P54" s="59"/>
      <c r="Q54" s="535">
        <f t="shared" si="0"/>
        <v>6857</v>
      </c>
      <c r="R54" s="536"/>
      <c r="S54" s="536"/>
      <c r="T54" s="536"/>
      <c r="U54" s="536"/>
      <c r="V54" s="536">
        <f t="shared" si="1"/>
        <v>3579</v>
      </c>
      <c r="W54" s="536"/>
      <c r="X54" s="536"/>
      <c r="Y54" s="536"/>
      <c r="Z54" s="536"/>
      <c r="AA54" s="536">
        <f t="shared" si="2"/>
        <v>3278</v>
      </c>
      <c r="AB54" s="536"/>
      <c r="AC54" s="536"/>
      <c r="AD54" s="536"/>
      <c r="AE54" s="536"/>
      <c r="AF54" s="536">
        <v>6853</v>
      </c>
      <c r="AG54" s="536"/>
      <c r="AH54" s="536"/>
      <c r="AI54" s="536"/>
      <c r="AJ54" s="536"/>
      <c r="AK54" s="536">
        <v>3576</v>
      </c>
      <c r="AL54" s="536"/>
      <c r="AM54" s="536"/>
      <c r="AN54" s="536"/>
      <c r="AO54" s="536"/>
      <c r="AP54" s="536">
        <v>3277</v>
      </c>
      <c r="AQ54" s="536"/>
      <c r="AR54" s="536"/>
      <c r="AS54" s="536"/>
      <c r="AT54" s="536"/>
      <c r="AU54" s="536">
        <v>4</v>
      </c>
      <c r="AV54" s="536"/>
      <c r="AW54" s="536"/>
      <c r="AX54" s="536"/>
      <c r="AY54" s="536"/>
      <c r="AZ54" s="536">
        <v>3</v>
      </c>
      <c r="BA54" s="536"/>
      <c r="BB54" s="536"/>
      <c r="BC54" s="536"/>
      <c r="BD54" s="536"/>
      <c r="BE54" s="536">
        <v>1</v>
      </c>
      <c r="BF54" s="536"/>
      <c r="BG54" s="536"/>
      <c r="BH54" s="536"/>
      <c r="BI54" s="536"/>
    </row>
    <row r="55" spans="3:61" ht="12.75" customHeight="1">
      <c r="C55" s="65"/>
      <c r="D55" s="59"/>
      <c r="E55" s="484" t="s">
        <v>223</v>
      </c>
      <c r="F55" s="484"/>
      <c r="G55" s="484"/>
      <c r="H55" s="484"/>
      <c r="I55" s="484"/>
      <c r="J55" s="484"/>
      <c r="K55" s="484"/>
      <c r="L55" s="484"/>
      <c r="M55" s="484"/>
      <c r="N55" s="484"/>
      <c r="O55" s="484"/>
      <c r="P55" s="59"/>
      <c r="Q55" s="535">
        <f t="shared" si="0"/>
        <v>5997</v>
      </c>
      <c r="R55" s="536"/>
      <c r="S55" s="536"/>
      <c r="T55" s="536"/>
      <c r="U55" s="536"/>
      <c r="V55" s="536">
        <f t="shared" si="1"/>
        <v>3400</v>
      </c>
      <c r="W55" s="536"/>
      <c r="X55" s="536"/>
      <c r="Y55" s="536"/>
      <c r="Z55" s="536"/>
      <c r="AA55" s="536">
        <f t="shared" si="2"/>
        <v>2597</v>
      </c>
      <c r="AB55" s="536"/>
      <c r="AC55" s="536"/>
      <c r="AD55" s="536"/>
      <c r="AE55" s="536"/>
      <c r="AF55" s="536">
        <v>4399</v>
      </c>
      <c r="AG55" s="536"/>
      <c r="AH55" s="536"/>
      <c r="AI55" s="536"/>
      <c r="AJ55" s="536"/>
      <c r="AK55" s="536">
        <v>2157</v>
      </c>
      <c r="AL55" s="536"/>
      <c r="AM55" s="536"/>
      <c r="AN55" s="536"/>
      <c r="AO55" s="536"/>
      <c r="AP55" s="536">
        <v>2242</v>
      </c>
      <c r="AQ55" s="536"/>
      <c r="AR55" s="536"/>
      <c r="AS55" s="536"/>
      <c r="AT55" s="536"/>
      <c r="AU55" s="536">
        <v>1598</v>
      </c>
      <c r="AV55" s="536"/>
      <c r="AW55" s="536"/>
      <c r="AX55" s="536"/>
      <c r="AY55" s="536"/>
      <c r="AZ55" s="536">
        <v>1243</v>
      </c>
      <c r="BA55" s="536"/>
      <c r="BB55" s="536"/>
      <c r="BC55" s="536"/>
      <c r="BD55" s="536"/>
      <c r="BE55" s="536">
        <v>355</v>
      </c>
      <c r="BF55" s="536"/>
      <c r="BG55" s="536"/>
      <c r="BH55" s="536"/>
      <c r="BI55" s="536"/>
    </row>
    <row r="56" spans="3:61" ht="12.75" customHeight="1">
      <c r="C56" s="65"/>
      <c r="D56" s="484" t="s">
        <v>224</v>
      </c>
      <c r="E56" s="484"/>
      <c r="F56" s="484"/>
      <c r="G56" s="484"/>
      <c r="H56" s="484"/>
      <c r="I56" s="484"/>
      <c r="J56" s="484"/>
      <c r="K56" s="484"/>
      <c r="L56" s="484"/>
      <c r="M56" s="484"/>
      <c r="N56" s="484"/>
      <c r="O56" s="484"/>
      <c r="P56" s="59"/>
      <c r="Q56" s="535">
        <f t="shared" si="0"/>
        <v>14703</v>
      </c>
      <c r="R56" s="536"/>
      <c r="S56" s="536"/>
      <c r="T56" s="536"/>
      <c r="U56" s="536"/>
      <c r="V56" s="536">
        <f t="shared" si="1"/>
        <v>9185</v>
      </c>
      <c r="W56" s="536"/>
      <c r="X56" s="536"/>
      <c r="Y56" s="536"/>
      <c r="Z56" s="536"/>
      <c r="AA56" s="536">
        <f t="shared" si="2"/>
        <v>5518</v>
      </c>
      <c r="AB56" s="536"/>
      <c r="AC56" s="536"/>
      <c r="AD56" s="536"/>
      <c r="AE56" s="536"/>
      <c r="AF56" s="536">
        <v>13536</v>
      </c>
      <c r="AG56" s="536"/>
      <c r="AH56" s="536"/>
      <c r="AI56" s="536"/>
      <c r="AJ56" s="536"/>
      <c r="AK56" s="536">
        <v>8215</v>
      </c>
      <c r="AL56" s="536"/>
      <c r="AM56" s="536"/>
      <c r="AN56" s="536"/>
      <c r="AO56" s="536"/>
      <c r="AP56" s="536">
        <v>5321</v>
      </c>
      <c r="AQ56" s="536"/>
      <c r="AR56" s="536"/>
      <c r="AS56" s="536"/>
      <c r="AT56" s="536"/>
      <c r="AU56" s="536">
        <v>1167</v>
      </c>
      <c r="AV56" s="536"/>
      <c r="AW56" s="536"/>
      <c r="AX56" s="536"/>
      <c r="AY56" s="536"/>
      <c r="AZ56" s="536">
        <v>970</v>
      </c>
      <c r="BA56" s="536"/>
      <c r="BB56" s="536"/>
      <c r="BC56" s="536"/>
      <c r="BD56" s="536"/>
      <c r="BE56" s="536">
        <v>197</v>
      </c>
      <c r="BF56" s="536"/>
      <c r="BG56" s="536"/>
      <c r="BH56" s="536"/>
      <c r="BI56" s="536"/>
    </row>
    <row r="57" spans="3:61" ht="12.75" customHeight="1">
      <c r="C57" s="65"/>
      <c r="D57" s="59"/>
      <c r="E57" s="59"/>
      <c r="F57" s="59"/>
      <c r="G57" s="59"/>
      <c r="H57" s="59"/>
      <c r="I57" s="59"/>
      <c r="J57" s="59"/>
      <c r="K57" s="59"/>
      <c r="L57" s="59"/>
      <c r="M57" s="59"/>
      <c r="N57" s="59"/>
      <c r="O57" s="59"/>
      <c r="P57" s="59"/>
      <c r="Q57" s="291"/>
      <c r="R57" s="292"/>
      <c r="S57" s="292"/>
      <c r="T57" s="292"/>
      <c r="U57" s="292"/>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2"/>
      <c r="AV57" s="292"/>
      <c r="AW57" s="292"/>
      <c r="AX57" s="292"/>
      <c r="AY57" s="292"/>
      <c r="AZ57" s="295"/>
      <c r="BA57" s="295"/>
      <c r="BB57" s="295"/>
      <c r="BC57" s="295"/>
      <c r="BD57" s="295"/>
      <c r="BE57" s="295"/>
      <c r="BF57" s="295"/>
      <c r="BG57" s="295"/>
      <c r="BH57" s="295"/>
      <c r="BI57" s="295"/>
    </row>
    <row r="58" spans="3:61" ht="12.75" customHeight="1">
      <c r="C58" s="65"/>
      <c r="D58" s="59"/>
      <c r="E58" s="59"/>
      <c r="F58" s="59"/>
      <c r="G58" s="59"/>
      <c r="H58" s="59"/>
      <c r="I58" s="59"/>
      <c r="J58" s="59"/>
      <c r="K58" s="59"/>
      <c r="L58" s="59"/>
      <c r="M58" s="59"/>
      <c r="N58" s="59"/>
      <c r="O58" s="59"/>
      <c r="P58" s="59"/>
      <c r="Q58" s="291"/>
      <c r="R58" s="292"/>
      <c r="S58" s="292"/>
      <c r="T58" s="292"/>
      <c r="U58" s="292"/>
      <c r="V58" s="296"/>
      <c r="W58" s="296"/>
      <c r="X58" s="296"/>
      <c r="Y58" s="297"/>
      <c r="Z58" s="295"/>
      <c r="AA58" s="296"/>
      <c r="AB58" s="296"/>
      <c r="AC58" s="297"/>
      <c r="AD58" s="297"/>
      <c r="AE58" s="297"/>
      <c r="AF58" s="295"/>
      <c r="AG58" s="294"/>
      <c r="AH58" s="294"/>
      <c r="AI58" s="295"/>
      <c r="AJ58" s="295"/>
      <c r="AK58" s="294"/>
      <c r="AL58" s="294"/>
      <c r="AM58" s="294"/>
      <c r="AN58" s="295"/>
      <c r="AO58" s="295"/>
      <c r="AP58" s="294"/>
      <c r="AQ58" s="294"/>
      <c r="AR58" s="295"/>
      <c r="AS58" s="295"/>
      <c r="AT58" s="295"/>
      <c r="AU58" s="292"/>
      <c r="AV58" s="292"/>
      <c r="AW58" s="292"/>
      <c r="AX58" s="292"/>
      <c r="AY58" s="292"/>
      <c r="AZ58" s="294"/>
      <c r="BA58" s="294"/>
      <c r="BB58" s="295"/>
      <c r="BC58" s="295"/>
      <c r="BD58" s="295"/>
      <c r="BE58" s="294"/>
      <c r="BF58" s="294"/>
      <c r="BG58" s="295"/>
      <c r="BH58" s="295"/>
      <c r="BI58" s="295"/>
    </row>
    <row r="59" spans="3:61" s="249" customFormat="1" ht="12.75" customHeight="1">
      <c r="C59" s="481" t="s">
        <v>225</v>
      </c>
      <c r="D59" s="481"/>
      <c r="E59" s="481"/>
      <c r="F59" s="481"/>
      <c r="G59" s="481"/>
      <c r="H59" s="481"/>
      <c r="I59" s="481"/>
      <c r="J59" s="481"/>
      <c r="K59" s="481"/>
      <c r="L59" s="481"/>
      <c r="M59" s="481"/>
      <c r="N59" s="481"/>
      <c r="O59" s="481"/>
      <c r="P59" s="58"/>
      <c r="Q59" s="534">
        <f t="shared" si="0"/>
        <v>198940</v>
      </c>
      <c r="R59" s="533"/>
      <c r="S59" s="533"/>
      <c r="T59" s="533"/>
      <c r="U59" s="533"/>
      <c r="V59" s="533">
        <f>(AK59+AZ59)</f>
        <v>52300</v>
      </c>
      <c r="W59" s="533"/>
      <c r="X59" s="533"/>
      <c r="Y59" s="533"/>
      <c r="Z59" s="533"/>
      <c r="AA59" s="533">
        <f>(AP59+BE59)</f>
        <v>146640</v>
      </c>
      <c r="AB59" s="533"/>
      <c r="AC59" s="533"/>
      <c r="AD59" s="533"/>
      <c r="AE59" s="533"/>
      <c r="AF59" s="533">
        <v>113892</v>
      </c>
      <c r="AG59" s="533"/>
      <c r="AH59" s="533"/>
      <c r="AI59" s="533"/>
      <c r="AJ59" s="533"/>
      <c r="AK59" s="533">
        <v>24081</v>
      </c>
      <c r="AL59" s="533"/>
      <c r="AM59" s="533"/>
      <c r="AN59" s="533"/>
      <c r="AO59" s="533"/>
      <c r="AP59" s="533">
        <v>89811</v>
      </c>
      <c r="AQ59" s="533"/>
      <c r="AR59" s="533"/>
      <c r="AS59" s="533"/>
      <c r="AT59" s="533"/>
      <c r="AU59" s="533">
        <v>85048</v>
      </c>
      <c r="AV59" s="533"/>
      <c r="AW59" s="533"/>
      <c r="AX59" s="533"/>
      <c r="AY59" s="533"/>
      <c r="AZ59" s="533">
        <v>28219</v>
      </c>
      <c r="BA59" s="533"/>
      <c r="BB59" s="533"/>
      <c r="BC59" s="533"/>
      <c r="BD59" s="533"/>
      <c r="BE59" s="533">
        <v>56829</v>
      </c>
      <c r="BF59" s="533"/>
      <c r="BG59" s="533"/>
      <c r="BH59" s="533"/>
      <c r="BI59" s="533"/>
    </row>
    <row r="60" spans="3:61" ht="12.75" customHeight="1">
      <c r="C60" s="65"/>
      <c r="D60" s="484" t="s">
        <v>226</v>
      </c>
      <c r="E60" s="484"/>
      <c r="F60" s="484"/>
      <c r="G60" s="484"/>
      <c r="H60" s="484"/>
      <c r="I60" s="484"/>
      <c r="J60" s="484"/>
      <c r="K60" s="484"/>
      <c r="L60" s="484"/>
      <c r="M60" s="484"/>
      <c r="N60" s="484"/>
      <c r="O60" s="484"/>
      <c r="P60" s="59"/>
      <c r="Q60" s="535">
        <f t="shared" si="0"/>
        <v>103787</v>
      </c>
      <c r="R60" s="536"/>
      <c r="S60" s="536"/>
      <c r="T60" s="536"/>
      <c r="U60" s="536"/>
      <c r="V60" s="536">
        <f>(AK60+AZ60)</f>
        <v>4182</v>
      </c>
      <c r="W60" s="536"/>
      <c r="X60" s="536"/>
      <c r="Y60" s="536"/>
      <c r="Z60" s="536"/>
      <c r="AA60" s="536">
        <f>(AP60+BE60)</f>
        <v>99605</v>
      </c>
      <c r="AB60" s="536"/>
      <c r="AC60" s="536"/>
      <c r="AD60" s="536"/>
      <c r="AE60" s="536"/>
      <c r="AF60" s="536">
        <v>71370</v>
      </c>
      <c r="AG60" s="536"/>
      <c r="AH60" s="536"/>
      <c r="AI60" s="536"/>
      <c r="AJ60" s="536"/>
      <c r="AK60" s="536">
        <v>1170</v>
      </c>
      <c r="AL60" s="536"/>
      <c r="AM60" s="536"/>
      <c r="AN60" s="536"/>
      <c r="AO60" s="536"/>
      <c r="AP60" s="536">
        <v>70200</v>
      </c>
      <c r="AQ60" s="536"/>
      <c r="AR60" s="536"/>
      <c r="AS60" s="536"/>
      <c r="AT60" s="536"/>
      <c r="AU60" s="536">
        <v>32417</v>
      </c>
      <c r="AV60" s="536"/>
      <c r="AW60" s="536"/>
      <c r="AX60" s="536"/>
      <c r="AY60" s="536"/>
      <c r="AZ60" s="536">
        <v>3012</v>
      </c>
      <c r="BA60" s="536"/>
      <c r="BB60" s="536"/>
      <c r="BC60" s="536"/>
      <c r="BD60" s="536"/>
      <c r="BE60" s="536">
        <v>29405</v>
      </c>
      <c r="BF60" s="536"/>
      <c r="BG60" s="536"/>
      <c r="BH60" s="536"/>
      <c r="BI60" s="536"/>
    </row>
    <row r="61" spans="3:61" ht="12.75" customHeight="1">
      <c r="C61" s="65"/>
      <c r="D61" s="484" t="s">
        <v>227</v>
      </c>
      <c r="E61" s="484"/>
      <c r="F61" s="484"/>
      <c r="G61" s="484"/>
      <c r="H61" s="484"/>
      <c r="I61" s="484"/>
      <c r="J61" s="484"/>
      <c r="K61" s="484"/>
      <c r="L61" s="484"/>
      <c r="M61" s="484"/>
      <c r="N61" s="484"/>
      <c r="O61" s="484"/>
      <c r="P61" s="59"/>
      <c r="Q61" s="535">
        <f t="shared" si="0"/>
        <v>33406</v>
      </c>
      <c r="R61" s="536"/>
      <c r="S61" s="536"/>
      <c r="T61" s="536"/>
      <c r="U61" s="536"/>
      <c r="V61" s="536">
        <f>(AK61+AZ61)</f>
        <v>17558</v>
      </c>
      <c r="W61" s="536"/>
      <c r="X61" s="536"/>
      <c r="Y61" s="536"/>
      <c r="Z61" s="536"/>
      <c r="AA61" s="536">
        <f>(AP61+BE61)</f>
        <v>15848</v>
      </c>
      <c r="AB61" s="536"/>
      <c r="AC61" s="536"/>
      <c r="AD61" s="536"/>
      <c r="AE61" s="536"/>
      <c r="AF61" s="536">
        <v>33346</v>
      </c>
      <c r="AG61" s="536"/>
      <c r="AH61" s="536"/>
      <c r="AI61" s="536"/>
      <c r="AJ61" s="536"/>
      <c r="AK61" s="536">
        <v>17534</v>
      </c>
      <c r="AL61" s="536"/>
      <c r="AM61" s="536"/>
      <c r="AN61" s="536"/>
      <c r="AO61" s="536"/>
      <c r="AP61" s="536">
        <v>15812</v>
      </c>
      <c r="AQ61" s="536"/>
      <c r="AR61" s="536"/>
      <c r="AS61" s="536"/>
      <c r="AT61" s="536"/>
      <c r="AU61" s="536">
        <v>60</v>
      </c>
      <c r="AV61" s="536"/>
      <c r="AW61" s="536"/>
      <c r="AX61" s="536"/>
      <c r="AY61" s="536"/>
      <c r="AZ61" s="536">
        <v>24</v>
      </c>
      <c r="BA61" s="536"/>
      <c r="BB61" s="536"/>
      <c r="BC61" s="536"/>
      <c r="BD61" s="536"/>
      <c r="BE61" s="536">
        <v>36</v>
      </c>
      <c r="BF61" s="536"/>
      <c r="BG61" s="536"/>
      <c r="BH61" s="536"/>
      <c r="BI61" s="536"/>
    </row>
    <row r="62" spans="3:61" ht="12.75" customHeight="1">
      <c r="C62" s="65"/>
      <c r="D62" s="484" t="s">
        <v>228</v>
      </c>
      <c r="E62" s="484"/>
      <c r="F62" s="484"/>
      <c r="G62" s="484"/>
      <c r="H62" s="484"/>
      <c r="I62" s="484"/>
      <c r="J62" s="484"/>
      <c r="K62" s="484"/>
      <c r="L62" s="484"/>
      <c r="M62" s="484"/>
      <c r="N62" s="484"/>
      <c r="O62" s="484"/>
      <c r="P62" s="59"/>
      <c r="Q62" s="535">
        <f t="shared" si="0"/>
        <v>61747</v>
      </c>
      <c r="R62" s="536"/>
      <c r="S62" s="536"/>
      <c r="T62" s="536"/>
      <c r="U62" s="536"/>
      <c r="V62" s="536">
        <f>(AK62+AZ62)</f>
        <v>30560</v>
      </c>
      <c r="W62" s="536"/>
      <c r="X62" s="536"/>
      <c r="Y62" s="536"/>
      <c r="Z62" s="536"/>
      <c r="AA62" s="536">
        <f>(AP62+BE62)</f>
        <v>31187</v>
      </c>
      <c r="AB62" s="536"/>
      <c r="AC62" s="536"/>
      <c r="AD62" s="536"/>
      <c r="AE62" s="536"/>
      <c r="AF62" s="536">
        <v>9176</v>
      </c>
      <c r="AG62" s="537"/>
      <c r="AH62" s="537"/>
      <c r="AI62" s="537"/>
      <c r="AJ62" s="537"/>
      <c r="AK62" s="536">
        <v>5377</v>
      </c>
      <c r="AL62" s="536"/>
      <c r="AM62" s="536"/>
      <c r="AN62" s="536"/>
      <c r="AO62" s="536"/>
      <c r="AP62" s="536">
        <v>3799</v>
      </c>
      <c r="AQ62" s="536"/>
      <c r="AR62" s="536"/>
      <c r="AS62" s="536"/>
      <c r="AT62" s="536"/>
      <c r="AU62" s="536">
        <v>52571</v>
      </c>
      <c r="AV62" s="536"/>
      <c r="AW62" s="536"/>
      <c r="AX62" s="536"/>
      <c r="AY62" s="536"/>
      <c r="AZ62" s="536">
        <v>25183</v>
      </c>
      <c r="BA62" s="536"/>
      <c r="BB62" s="536"/>
      <c r="BC62" s="536"/>
      <c r="BD62" s="536"/>
      <c r="BE62" s="536">
        <v>27388</v>
      </c>
      <c r="BF62" s="536"/>
      <c r="BG62" s="537"/>
      <c r="BH62" s="537"/>
      <c r="BI62" s="537"/>
    </row>
    <row r="63" spans="3:61" ht="12.75" customHeight="1">
      <c r="C63" s="65"/>
      <c r="D63" s="59"/>
      <c r="E63" s="59"/>
      <c r="F63" s="59"/>
      <c r="G63" s="59"/>
      <c r="H63" s="59"/>
      <c r="I63" s="59"/>
      <c r="J63" s="59"/>
      <c r="K63" s="59"/>
      <c r="L63" s="59"/>
      <c r="M63" s="59"/>
      <c r="N63" s="59"/>
      <c r="O63" s="59"/>
      <c r="P63" s="59"/>
      <c r="Q63" s="298"/>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7"/>
      <c r="BH63" s="297"/>
      <c r="BI63" s="297"/>
    </row>
    <row r="64" spans="3:61" ht="12.75" customHeight="1">
      <c r="C64" s="65"/>
      <c r="D64" s="59"/>
      <c r="E64" s="59"/>
      <c r="F64" s="59"/>
      <c r="G64" s="59"/>
      <c r="H64" s="59"/>
      <c r="I64" s="59"/>
      <c r="J64" s="59"/>
      <c r="K64" s="59"/>
      <c r="L64" s="59"/>
      <c r="M64" s="59"/>
      <c r="N64" s="59"/>
      <c r="O64" s="59"/>
      <c r="P64" s="59"/>
      <c r="Q64" s="293"/>
      <c r="R64" s="294"/>
      <c r="S64" s="294"/>
      <c r="T64" s="295"/>
      <c r="U64" s="295"/>
      <c r="V64" s="296"/>
      <c r="W64" s="296"/>
      <c r="X64" s="296"/>
      <c r="Y64" s="297"/>
      <c r="Z64" s="297"/>
      <c r="AA64" s="296"/>
      <c r="AB64" s="296"/>
      <c r="AC64" s="297"/>
      <c r="AD64" s="297"/>
      <c r="AE64" s="297"/>
      <c r="AF64" s="297"/>
      <c r="AG64" s="296"/>
      <c r="AH64" s="296"/>
      <c r="AI64" s="297"/>
      <c r="AJ64" s="297"/>
      <c r="AK64" s="296"/>
      <c r="AL64" s="296"/>
      <c r="AM64" s="296"/>
      <c r="AN64" s="297"/>
      <c r="AO64" s="297"/>
      <c r="AP64" s="296"/>
      <c r="AQ64" s="296"/>
      <c r="AR64" s="297"/>
      <c r="AS64" s="297"/>
      <c r="AT64" s="297"/>
      <c r="AU64" s="296"/>
      <c r="AV64" s="296"/>
      <c r="AW64" s="296"/>
      <c r="AX64" s="297"/>
      <c r="AY64" s="297"/>
      <c r="AZ64" s="296"/>
      <c r="BA64" s="296"/>
      <c r="BB64" s="297"/>
      <c r="BC64" s="297"/>
      <c r="BD64" s="297"/>
      <c r="BE64" s="296"/>
      <c r="BF64" s="296"/>
      <c r="BG64" s="297"/>
      <c r="BH64" s="297"/>
      <c r="BI64" s="297"/>
    </row>
    <row r="65" spans="3:61" s="249" customFormat="1" ht="12.75" customHeight="1">
      <c r="C65" s="481" t="s">
        <v>229</v>
      </c>
      <c r="D65" s="481"/>
      <c r="E65" s="481"/>
      <c r="F65" s="481"/>
      <c r="G65" s="481"/>
      <c r="H65" s="481"/>
      <c r="I65" s="481"/>
      <c r="J65" s="481"/>
      <c r="K65" s="481"/>
      <c r="L65" s="481"/>
      <c r="M65" s="481"/>
      <c r="N65" s="481"/>
      <c r="O65" s="481"/>
      <c r="P65" s="299"/>
      <c r="Q65" s="533">
        <v>75846</v>
      </c>
      <c r="R65" s="533"/>
      <c r="S65" s="533"/>
      <c r="T65" s="533"/>
      <c r="U65" s="533"/>
      <c r="V65" s="533">
        <v>51002</v>
      </c>
      <c r="W65" s="533"/>
      <c r="X65" s="533"/>
      <c r="Y65" s="533"/>
      <c r="Z65" s="533"/>
      <c r="AA65" s="533">
        <v>24844</v>
      </c>
      <c r="AB65" s="533"/>
      <c r="AC65" s="533"/>
      <c r="AD65" s="533"/>
      <c r="AE65" s="533"/>
      <c r="AF65" s="533">
        <v>58516</v>
      </c>
      <c r="AG65" s="533"/>
      <c r="AH65" s="533"/>
      <c r="AI65" s="533"/>
      <c r="AJ65" s="533"/>
      <c r="AK65" s="533">
        <v>39350</v>
      </c>
      <c r="AL65" s="533"/>
      <c r="AM65" s="533"/>
      <c r="AN65" s="533"/>
      <c r="AO65" s="533"/>
      <c r="AP65" s="533">
        <v>19166</v>
      </c>
      <c r="AQ65" s="533"/>
      <c r="AR65" s="533"/>
      <c r="AS65" s="533"/>
      <c r="AT65" s="533"/>
      <c r="AU65" s="533">
        <v>17330</v>
      </c>
      <c r="AV65" s="533"/>
      <c r="AW65" s="533"/>
      <c r="AX65" s="533"/>
      <c r="AY65" s="533"/>
      <c r="AZ65" s="533">
        <v>11652</v>
      </c>
      <c r="BA65" s="533"/>
      <c r="BB65" s="533"/>
      <c r="BC65" s="533"/>
      <c r="BD65" s="533"/>
      <c r="BE65" s="533">
        <v>5678</v>
      </c>
      <c r="BF65" s="533"/>
      <c r="BG65" s="533"/>
      <c r="BH65" s="533"/>
      <c r="BI65" s="533"/>
    </row>
    <row r="66" spans="2:61" ht="12.75" customHeight="1">
      <c r="B66" s="261"/>
      <c r="C66" s="261"/>
      <c r="D66" s="261"/>
      <c r="E66" s="261"/>
      <c r="F66" s="261"/>
      <c r="G66" s="261"/>
      <c r="H66" s="261"/>
      <c r="I66" s="261"/>
      <c r="J66" s="261"/>
      <c r="K66" s="261"/>
      <c r="L66" s="261"/>
      <c r="M66" s="261"/>
      <c r="N66" s="261"/>
      <c r="O66" s="261"/>
      <c r="P66" s="262"/>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row>
    <row r="67" spans="2:61" ht="12" customHeight="1">
      <c r="B67" s="530" t="s">
        <v>192</v>
      </c>
      <c r="C67" s="530"/>
      <c r="D67" s="530"/>
      <c r="E67" s="263" t="s">
        <v>230</v>
      </c>
      <c r="F67" s="341" t="s">
        <v>484</v>
      </c>
      <c r="H67" s="279"/>
      <c r="I67" s="279"/>
      <c r="J67" s="279"/>
      <c r="K67" s="279"/>
      <c r="L67" s="279"/>
      <c r="M67" s="279"/>
      <c r="N67" s="279"/>
      <c r="O67" s="279"/>
      <c r="P67" s="264"/>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row>
    <row r="68" ht="12" customHeight="1"/>
    <row r="69" ht="12" customHeight="1"/>
    <row r="70" ht="12" customHeight="1"/>
    <row r="71" ht="12" customHeight="1"/>
  </sheetData>
  <sheetProtection/>
  <mergeCells count="291">
    <mergeCell ref="B67:D67"/>
    <mergeCell ref="AZ62:BD62"/>
    <mergeCell ref="BE62:BI62"/>
    <mergeCell ref="C65:O65"/>
    <mergeCell ref="Q65:U65"/>
    <mergeCell ref="V65:Z65"/>
    <mergeCell ref="AA65:AE65"/>
    <mergeCell ref="AF65:AJ65"/>
    <mergeCell ref="AK65:AO65"/>
    <mergeCell ref="AU62:AY62"/>
    <mergeCell ref="BE65:BI65"/>
    <mergeCell ref="AP61:AT61"/>
    <mergeCell ref="AU61:AY61"/>
    <mergeCell ref="BE61:BI61"/>
    <mergeCell ref="AP62:AT62"/>
    <mergeCell ref="AP65:AT65"/>
    <mergeCell ref="AU65:AY65"/>
    <mergeCell ref="AZ61:BD61"/>
    <mergeCell ref="AZ65:BD65"/>
    <mergeCell ref="V62:Z62"/>
    <mergeCell ref="AA62:AE62"/>
    <mergeCell ref="V61:Z61"/>
    <mergeCell ref="AA61:AE61"/>
    <mergeCell ref="D61:O61"/>
    <mergeCell ref="Q61:U61"/>
    <mergeCell ref="D62:O62"/>
    <mergeCell ref="Q62:U62"/>
    <mergeCell ref="AF61:AJ61"/>
    <mergeCell ref="AK61:AO61"/>
    <mergeCell ref="AF62:AJ62"/>
    <mergeCell ref="AK62:AO62"/>
    <mergeCell ref="AZ60:BD60"/>
    <mergeCell ref="BE60:BI60"/>
    <mergeCell ref="D60:O60"/>
    <mergeCell ref="Q60:U60"/>
    <mergeCell ref="AP60:AT60"/>
    <mergeCell ref="AU60:AY60"/>
    <mergeCell ref="AZ56:BD56"/>
    <mergeCell ref="BE56:BI56"/>
    <mergeCell ref="V60:Z60"/>
    <mergeCell ref="AA60:AE60"/>
    <mergeCell ref="AF60:AJ60"/>
    <mergeCell ref="AK60:AO60"/>
    <mergeCell ref="C59:O59"/>
    <mergeCell ref="Q59:U59"/>
    <mergeCell ref="V59:Z59"/>
    <mergeCell ref="AA59:AE59"/>
    <mergeCell ref="AF59:AJ59"/>
    <mergeCell ref="AK59:AO59"/>
    <mergeCell ref="AZ55:BD55"/>
    <mergeCell ref="BE55:BI55"/>
    <mergeCell ref="AP59:AT59"/>
    <mergeCell ref="AU59:AY59"/>
    <mergeCell ref="AZ59:BD59"/>
    <mergeCell ref="BE59:BI59"/>
    <mergeCell ref="AP55:AT55"/>
    <mergeCell ref="AU55:AY55"/>
    <mergeCell ref="D56:O56"/>
    <mergeCell ref="Q56:U56"/>
    <mergeCell ref="V56:Z56"/>
    <mergeCell ref="AA56:AE56"/>
    <mergeCell ref="AP56:AT56"/>
    <mergeCell ref="AU56:AY56"/>
    <mergeCell ref="AF56:AJ56"/>
    <mergeCell ref="AK56:AO56"/>
    <mergeCell ref="E55:O55"/>
    <mergeCell ref="Q55:U55"/>
    <mergeCell ref="V55:Z55"/>
    <mergeCell ref="AA55:AE55"/>
    <mergeCell ref="AF55:AJ55"/>
    <mergeCell ref="AK55:AO55"/>
    <mergeCell ref="AZ52:BD52"/>
    <mergeCell ref="BE52:BI52"/>
    <mergeCell ref="AZ54:BD54"/>
    <mergeCell ref="BE54:BI54"/>
    <mergeCell ref="AZ53:BD53"/>
    <mergeCell ref="BE53:BI53"/>
    <mergeCell ref="AP53:AT53"/>
    <mergeCell ref="AU53:AY53"/>
    <mergeCell ref="E54:O54"/>
    <mergeCell ref="Q54:U54"/>
    <mergeCell ref="V54:Z54"/>
    <mergeCell ref="AA54:AE54"/>
    <mergeCell ref="AP54:AT54"/>
    <mergeCell ref="AU54:AY54"/>
    <mergeCell ref="AF54:AJ54"/>
    <mergeCell ref="AK54:AO54"/>
    <mergeCell ref="AZ51:BD51"/>
    <mergeCell ref="BE51:BI51"/>
    <mergeCell ref="E53:O53"/>
    <mergeCell ref="Q53:U53"/>
    <mergeCell ref="V53:Z53"/>
    <mergeCell ref="AA53:AE53"/>
    <mergeCell ref="E52:O52"/>
    <mergeCell ref="Q52:U52"/>
    <mergeCell ref="AF53:AJ53"/>
    <mergeCell ref="AK53:AO53"/>
    <mergeCell ref="V52:Z52"/>
    <mergeCell ref="AA52:AE52"/>
    <mergeCell ref="AF52:AJ52"/>
    <mergeCell ref="AK52:AO52"/>
    <mergeCell ref="AP51:AT51"/>
    <mergeCell ref="AU51:AY51"/>
    <mergeCell ref="AP52:AT52"/>
    <mergeCell ref="AU52:AY52"/>
    <mergeCell ref="D51:O51"/>
    <mergeCell ref="Q51:U51"/>
    <mergeCell ref="V51:Z51"/>
    <mergeCell ref="AA51:AE51"/>
    <mergeCell ref="AF51:AJ51"/>
    <mergeCell ref="AK51:AO51"/>
    <mergeCell ref="BE46:BI46"/>
    <mergeCell ref="C49:O49"/>
    <mergeCell ref="Q49:U49"/>
    <mergeCell ref="V49:Z49"/>
    <mergeCell ref="AA49:AE49"/>
    <mergeCell ref="AF49:AJ49"/>
    <mergeCell ref="AZ49:BD49"/>
    <mergeCell ref="BE49:BI49"/>
    <mergeCell ref="AK49:AO49"/>
    <mergeCell ref="C46:O46"/>
    <mergeCell ref="Q46:U46"/>
    <mergeCell ref="AP46:AT46"/>
    <mergeCell ref="AU44:AY44"/>
    <mergeCell ref="AF44:AJ44"/>
    <mergeCell ref="AK44:AO44"/>
    <mergeCell ref="AP49:AT49"/>
    <mergeCell ref="AU49:AY49"/>
    <mergeCell ref="AF46:AJ46"/>
    <mergeCell ref="AZ46:BD46"/>
    <mergeCell ref="AU46:AY46"/>
    <mergeCell ref="AA44:AE44"/>
    <mergeCell ref="V46:Z46"/>
    <mergeCell ref="AA46:AE46"/>
    <mergeCell ref="AP44:AT44"/>
    <mergeCell ref="AK46:AO46"/>
    <mergeCell ref="B37:D37"/>
    <mergeCell ref="AZ44:BD44"/>
    <mergeCell ref="BE44:BI44"/>
    <mergeCell ref="B41:BI41"/>
    <mergeCell ref="B43:P44"/>
    <mergeCell ref="Q43:AE43"/>
    <mergeCell ref="AF43:AT43"/>
    <mergeCell ref="AU43:BI43"/>
    <mergeCell ref="Q44:U44"/>
    <mergeCell ref="V44:Z44"/>
    <mergeCell ref="AD32:AK32"/>
    <mergeCell ref="V19:AC19"/>
    <mergeCell ref="E18:T18"/>
    <mergeCell ref="V18:AC18"/>
    <mergeCell ref="AD18:AK18"/>
    <mergeCell ref="AD25:AK25"/>
    <mergeCell ref="E27:T27"/>
    <mergeCell ref="V27:AC27"/>
    <mergeCell ref="E26:T26"/>
    <mergeCell ref="AD26:AK26"/>
    <mergeCell ref="C16:T16"/>
    <mergeCell ref="V16:AC16"/>
    <mergeCell ref="E19:T19"/>
    <mergeCell ref="E17:T17"/>
    <mergeCell ref="V17:AC17"/>
    <mergeCell ref="V22:AC22"/>
    <mergeCell ref="E22:T22"/>
    <mergeCell ref="E24:T24"/>
    <mergeCell ref="V24:AC24"/>
    <mergeCell ref="AD24:AK24"/>
    <mergeCell ref="B3:BI3"/>
    <mergeCell ref="AL5:AS6"/>
    <mergeCell ref="AD5:AK6"/>
    <mergeCell ref="V5:AC6"/>
    <mergeCell ref="B5:U6"/>
    <mergeCell ref="BB5:BI6"/>
    <mergeCell ref="AT5:BA6"/>
    <mergeCell ref="E12:T12"/>
    <mergeCell ref="V12:AC12"/>
    <mergeCell ref="AD12:AK12"/>
    <mergeCell ref="AD14:AK14"/>
    <mergeCell ref="E13:T13"/>
    <mergeCell ref="V13:AC13"/>
    <mergeCell ref="C11:T11"/>
    <mergeCell ref="V11:AC11"/>
    <mergeCell ref="AD11:AK11"/>
    <mergeCell ref="AD8:AK8"/>
    <mergeCell ref="C8:T8"/>
    <mergeCell ref="V8:AC8"/>
    <mergeCell ref="BB21:BI21"/>
    <mergeCell ref="BB18:BI18"/>
    <mergeCell ref="AT21:BA21"/>
    <mergeCell ref="BB14:BI14"/>
    <mergeCell ref="AT16:BA16"/>
    <mergeCell ref="AT17:BA17"/>
    <mergeCell ref="BB19:BI19"/>
    <mergeCell ref="BB16:BI16"/>
    <mergeCell ref="BB17:BI17"/>
    <mergeCell ref="AT18:BA18"/>
    <mergeCell ref="AL12:AS12"/>
    <mergeCell ref="BB12:BI12"/>
    <mergeCell ref="AT12:BA12"/>
    <mergeCell ref="AT8:BA8"/>
    <mergeCell ref="AL8:AS8"/>
    <mergeCell ref="AL11:AS11"/>
    <mergeCell ref="BB8:BI8"/>
    <mergeCell ref="AT11:BA11"/>
    <mergeCell ref="BB11:BI11"/>
    <mergeCell ref="BB13:BI13"/>
    <mergeCell ref="AD19:AK19"/>
    <mergeCell ref="AL19:AS19"/>
    <mergeCell ref="AL16:AS16"/>
    <mergeCell ref="AD17:AK17"/>
    <mergeCell ref="AL17:AS17"/>
    <mergeCell ref="AL18:AS18"/>
    <mergeCell ref="AD16:AK16"/>
    <mergeCell ref="AL14:AS14"/>
    <mergeCell ref="AT19:BA19"/>
    <mergeCell ref="BB25:BI25"/>
    <mergeCell ref="BB28:BI28"/>
    <mergeCell ref="BB27:BI27"/>
    <mergeCell ref="AT26:BA26"/>
    <mergeCell ref="AT27:BA27"/>
    <mergeCell ref="E30:T30"/>
    <mergeCell ref="AD29:AK29"/>
    <mergeCell ref="V30:AC30"/>
    <mergeCell ref="AD30:AK30"/>
    <mergeCell ref="AD28:AK28"/>
    <mergeCell ref="E31:T31"/>
    <mergeCell ref="AT35:BA35"/>
    <mergeCell ref="BB35:BI35"/>
    <mergeCell ref="AT32:BA32"/>
    <mergeCell ref="BB32:BI32"/>
    <mergeCell ref="AL32:AS32"/>
    <mergeCell ref="V32:AC32"/>
    <mergeCell ref="C35:T35"/>
    <mergeCell ref="V35:AC35"/>
    <mergeCell ref="AD35:AK35"/>
    <mergeCell ref="AL35:AS35"/>
    <mergeCell ref="BB22:BI22"/>
    <mergeCell ref="BB26:BI26"/>
    <mergeCell ref="BB24:BI24"/>
    <mergeCell ref="AL26:AS26"/>
    <mergeCell ref="AT28:BA28"/>
    <mergeCell ref="AL29:AS29"/>
    <mergeCell ref="BB23:BI23"/>
    <mergeCell ref="AL30:AS30"/>
    <mergeCell ref="AL25:AS25"/>
    <mergeCell ref="E33:T33"/>
    <mergeCell ref="AL33:AS33"/>
    <mergeCell ref="AT33:BA33"/>
    <mergeCell ref="BB31:BI31"/>
    <mergeCell ref="E32:T32"/>
    <mergeCell ref="AL31:AS31"/>
    <mergeCell ref="AT31:BA31"/>
    <mergeCell ref="V33:AC33"/>
    <mergeCell ref="AD33:AK33"/>
    <mergeCell ref="BB33:BI33"/>
    <mergeCell ref="V31:AC31"/>
    <mergeCell ref="AD31:AK31"/>
    <mergeCell ref="BB30:BI30"/>
    <mergeCell ref="AT29:BA29"/>
    <mergeCell ref="BB29:BI29"/>
    <mergeCell ref="AT30:BA30"/>
    <mergeCell ref="AL28:AS28"/>
    <mergeCell ref="AD21:AK21"/>
    <mergeCell ref="AD22:AK22"/>
    <mergeCell ref="AL22:AS22"/>
    <mergeCell ref="AL21:AS21"/>
    <mergeCell ref="AL24:AS24"/>
    <mergeCell ref="AD27:AK27"/>
    <mergeCell ref="AL27:AS27"/>
    <mergeCell ref="AT24:BA24"/>
    <mergeCell ref="AT22:BA22"/>
    <mergeCell ref="AT25:BA25"/>
    <mergeCell ref="AT23:BA23"/>
    <mergeCell ref="AT13:BA13"/>
    <mergeCell ref="AT14:BA14"/>
    <mergeCell ref="AL13:AS13"/>
    <mergeCell ref="E23:T23"/>
    <mergeCell ref="V23:AC23"/>
    <mergeCell ref="AD23:AK23"/>
    <mergeCell ref="AL23:AS23"/>
    <mergeCell ref="E14:T14"/>
    <mergeCell ref="V14:AC14"/>
    <mergeCell ref="AD13:AK13"/>
    <mergeCell ref="C21:T21"/>
    <mergeCell ref="V21:AC21"/>
    <mergeCell ref="E29:T29"/>
    <mergeCell ref="V28:AC28"/>
    <mergeCell ref="V25:AC25"/>
    <mergeCell ref="E25:T25"/>
    <mergeCell ref="E28:T28"/>
    <mergeCell ref="V29:AC29"/>
    <mergeCell ref="V26:AC26"/>
  </mergeCells>
  <printOptions horizontalCentered="1"/>
  <pageMargins left="0.4724409448818898" right="0.4724409448818898" top="0.7086614173228347" bottom="0.3937007874015748" header="0" footer="0"/>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F60"/>
  <sheetViews>
    <sheetView zoomScalePageLayoutView="0" workbookViewId="0" topLeftCell="A1">
      <selection activeCell="V3" sqref="V3:AD3"/>
    </sheetView>
  </sheetViews>
  <sheetFormatPr defaultColWidth="9.00390625" defaultRowHeight="13.5"/>
  <cols>
    <col min="1" max="24" width="1.625" style="27" customWidth="1"/>
    <col min="25" max="30" width="10.125" style="27" customWidth="1"/>
    <col min="31" max="31" width="1.625" style="27" customWidth="1"/>
    <col min="32" max="16384" width="9.00390625" style="27" customWidth="1"/>
  </cols>
  <sheetData>
    <row r="1" spans="1:31" ht="10.5" customHeight="1">
      <c r="A1" s="331" t="s">
        <v>494</v>
      </c>
      <c r="C1" s="70"/>
      <c r="E1" s="70"/>
      <c r="F1" s="70"/>
      <c r="G1" s="70"/>
      <c r="H1" s="70"/>
      <c r="I1" s="70"/>
      <c r="J1" s="70"/>
      <c r="K1" s="70"/>
      <c r="L1" s="70"/>
      <c r="M1" s="70"/>
      <c r="N1" s="70"/>
      <c r="O1" s="70"/>
      <c r="P1" s="70"/>
      <c r="Q1" s="70"/>
      <c r="AE1" s="3"/>
    </row>
    <row r="2" ht="10.5" customHeight="1"/>
    <row r="3" spans="2:31" s="38" customFormat="1" ht="18" customHeight="1">
      <c r="B3" s="206"/>
      <c r="C3" s="214"/>
      <c r="D3" s="214"/>
      <c r="E3" s="214"/>
      <c r="F3" s="214"/>
      <c r="G3" s="214"/>
      <c r="H3" s="214"/>
      <c r="I3" s="214"/>
      <c r="J3" s="214"/>
      <c r="K3" s="214"/>
      <c r="L3" s="214"/>
      <c r="M3" s="214"/>
      <c r="N3" s="214"/>
      <c r="O3" s="214"/>
      <c r="P3" s="214"/>
      <c r="Q3" s="214"/>
      <c r="R3" s="214"/>
      <c r="S3" s="214"/>
      <c r="T3" s="214"/>
      <c r="U3" s="214"/>
      <c r="V3" s="541" t="s">
        <v>516</v>
      </c>
      <c r="W3" s="542"/>
      <c r="X3" s="542"/>
      <c r="Y3" s="542"/>
      <c r="Z3" s="542"/>
      <c r="AA3" s="542"/>
      <c r="AB3" s="542"/>
      <c r="AC3" s="542"/>
      <c r="AD3" s="542"/>
      <c r="AE3" s="57"/>
    </row>
    <row r="4" spans="2:31" ht="12.75" customHeigh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1"/>
      <c r="AE4" s="29"/>
    </row>
    <row r="5" spans="2:31" ht="15.75" customHeight="1">
      <c r="B5" s="539" t="s">
        <v>354</v>
      </c>
      <c r="C5" s="539"/>
      <c r="D5" s="539"/>
      <c r="E5" s="539"/>
      <c r="F5" s="539"/>
      <c r="G5" s="539"/>
      <c r="H5" s="539"/>
      <c r="I5" s="539"/>
      <c r="J5" s="539"/>
      <c r="K5" s="539"/>
      <c r="L5" s="539"/>
      <c r="M5" s="539"/>
      <c r="N5" s="539"/>
      <c r="O5" s="539"/>
      <c r="P5" s="539"/>
      <c r="Q5" s="539"/>
      <c r="R5" s="539"/>
      <c r="S5" s="539"/>
      <c r="T5" s="539"/>
      <c r="U5" s="539"/>
      <c r="V5" s="539"/>
      <c r="W5" s="539"/>
      <c r="X5" s="475"/>
      <c r="Y5" s="475" t="s">
        <v>191</v>
      </c>
      <c r="Z5" s="476"/>
      <c r="AA5" s="476"/>
      <c r="AB5" s="476" t="s">
        <v>353</v>
      </c>
      <c r="AC5" s="476"/>
      <c r="AD5" s="477"/>
      <c r="AE5" s="28"/>
    </row>
    <row r="6" spans="2:31" ht="15.75" customHeight="1">
      <c r="B6" s="540"/>
      <c r="C6" s="540"/>
      <c r="D6" s="540"/>
      <c r="E6" s="540"/>
      <c r="F6" s="540"/>
      <c r="G6" s="540"/>
      <c r="H6" s="540"/>
      <c r="I6" s="540"/>
      <c r="J6" s="540"/>
      <c r="K6" s="540"/>
      <c r="L6" s="540"/>
      <c r="M6" s="540"/>
      <c r="N6" s="540"/>
      <c r="O6" s="540"/>
      <c r="P6" s="540"/>
      <c r="Q6" s="540"/>
      <c r="R6" s="540"/>
      <c r="S6" s="540"/>
      <c r="T6" s="540"/>
      <c r="U6" s="540"/>
      <c r="V6" s="540"/>
      <c r="W6" s="540"/>
      <c r="X6" s="478"/>
      <c r="Y6" s="144" t="s">
        <v>363</v>
      </c>
      <c r="Z6" s="145" t="s">
        <v>182</v>
      </c>
      <c r="AA6" s="145" t="s">
        <v>183</v>
      </c>
      <c r="AB6" s="145" t="s">
        <v>363</v>
      </c>
      <c r="AC6" s="145" t="s">
        <v>182</v>
      </c>
      <c r="AD6" s="147" t="s">
        <v>183</v>
      </c>
      <c r="AE6" s="28"/>
    </row>
    <row r="7" spans="2:25" ht="14.25" customHeight="1">
      <c r="B7" s="29"/>
      <c r="C7" s="29"/>
      <c r="D7" s="29"/>
      <c r="E7" s="29"/>
      <c r="F7" s="29"/>
      <c r="G7" s="29"/>
      <c r="H7" s="29"/>
      <c r="I7" s="29"/>
      <c r="J7" s="29"/>
      <c r="K7" s="29"/>
      <c r="L7" s="29"/>
      <c r="M7" s="29"/>
      <c r="N7" s="29"/>
      <c r="O7" s="29"/>
      <c r="P7" s="29"/>
      <c r="Q7" s="29"/>
      <c r="R7" s="29"/>
      <c r="S7" s="29"/>
      <c r="T7" s="29"/>
      <c r="U7" s="29"/>
      <c r="V7" s="29"/>
      <c r="W7" s="29"/>
      <c r="X7" s="149"/>
      <c r="Y7" s="29"/>
    </row>
    <row r="8" spans="2:31" ht="14.25" customHeight="1">
      <c r="B8" s="29"/>
      <c r="C8" s="444" t="s">
        <v>181</v>
      </c>
      <c r="D8" s="444"/>
      <c r="E8" s="444"/>
      <c r="F8" s="444"/>
      <c r="G8" s="444"/>
      <c r="H8" s="444"/>
      <c r="I8" s="444"/>
      <c r="J8" s="444"/>
      <c r="K8" s="444"/>
      <c r="L8" s="444"/>
      <c r="M8" s="444"/>
      <c r="N8" s="444"/>
      <c r="O8" s="444"/>
      <c r="P8" s="444"/>
      <c r="Q8" s="444"/>
      <c r="R8" s="444"/>
      <c r="S8" s="444"/>
      <c r="T8" s="444"/>
      <c r="U8" s="444"/>
      <c r="V8" s="444"/>
      <c r="W8" s="444"/>
      <c r="X8" s="161"/>
      <c r="Y8" s="312">
        <v>275526</v>
      </c>
      <c r="Z8" s="312">
        <v>162964</v>
      </c>
      <c r="AA8" s="312">
        <v>112562</v>
      </c>
      <c r="AB8" s="312">
        <v>236660</v>
      </c>
      <c r="AC8" s="312">
        <v>138685</v>
      </c>
      <c r="AD8" s="312">
        <v>97975</v>
      </c>
      <c r="AE8" s="66"/>
    </row>
    <row r="9" spans="2:31" ht="14.25" customHeight="1">
      <c r="B9" s="29"/>
      <c r="C9" s="29"/>
      <c r="D9" s="29"/>
      <c r="E9" s="29"/>
      <c r="F9" s="29"/>
      <c r="G9" s="29"/>
      <c r="H9" s="29"/>
      <c r="I9" s="29"/>
      <c r="J9" s="29"/>
      <c r="K9" s="29"/>
      <c r="L9" s="29"/>
      <c r="M9" s="29"/>
      <c r="N9" s="29"/>
      <c r="O9" s="29"/>
      <c r="P9" s="29"/>
      <c r="Q9" s="29"/>
      <c r="R9" s="29"/>
      <c r="S9" s="29"/>
      <c r="T9" s="29"/>
      <c r="U9" s="29"/>
      <c r="V9" s="29"/>
      <c r="W9" s="29"/>
      <c r="X9" s="149"/>
      <c r="Y9" s="121"/>
      <c r="Z9" s="121"/>
      <c r="AA9" s="121"/>
      <c r="AB9" s="121"/>
      <c r="AC9" s="121"/>
      <c r="AD9" s="121"/>
      <c r="AE9" s="66"/>
    </row>
    <row r="10" spans="2:31" ht="14.25" customHeight="1">
      <c r="B10" s="29"/>
      <c r="C10" s="538" t="s">
        <v>555</v>
      </c>
      <c r="D10" s="538"/>
      <c r="E10" s="444" t="s">
        <v>556</v>
      </c>
      <c r="F10" s="444"/>
      <c r="G10" s="444"/>
      <c r="H10" s="444"/>
      <c r="I10" s="444"/>
      <c r="J10" s="444"/>
      <c r="K10" s="444"/>
      <c r="L10" s="444"/>
      <c r="M10" s="444"/>
      <c r="N10" s="444"/>
      <c r="O10" s="444"/>
      <c r="P10" s="444"/>
      <c r="Q10" s="444"/>
      <c r="R10" s="444"/>
      <c r="S10" s="444"/>
      <c r="T10" s="444"/>
      <c r="U10" s="444"/>
      <c r="V10" s="444"/>
      <c r="W10" s="444"/>
      <c r="X10" s="161"/>
      <c r="Y10" s="312">
        <v>48049</v>
      </c>
      <c r="Z10" s="312">
        <v>29220</v>
      </c>
      <c r="AA10" s="312">
        <v>18829</v>
      </c>
      <c r="AB10" s="312">
        <v>38565</v>
      </c>
      <c r="AC10" s="312">
        <v>22719</v>
      </c>
      <c r="AD10" s="312">
        <v>15846</v>
      </c>
      <c r="AE10" s="66"/>
    </row>
    <row r="11" spans="2:31" ht="14.25" customHeight="1">
      <c r="B11" s="29"/>
      <c r="C11" s="29"/>
      <c r="D11" s="29"/>
      <c r="E11" s="356" t="s">
        <v>35</v>
      </c>
      <c r="F11" s="356"/>
      <c r="G11" s="356"/>
      <c r="H11" s="356"/>
      <c r="I11" s="356"/>
      <c r="J11" s="356"/>
      <c r="K11" s="356"/>
      <c r="L11" s="356"/>
      <c r="M11" s="356"/>
      <c r="N11" s="356"/>
      <c r="O11" s="356"/>
      <c r="P11" s="356"/>
      <c r="Q11" s="356"/>
      <c r="R11" s="356"/>
      <c r="S11" s="356"/>
      <c r="T11" s="356"/>
      <c r="U11" s="356"/>
      <c r="V11" s="356"/>
      <c r="W11" s="356"/>
      <c r="X11" s="162"/>
      <c r="Y11" s="311">
        <v>980</v>
      </c>
      <c r="Z11" s="311">
        <v>720</v>
      </c>
      <c r="AA11" s="311">
        <v>260</v>
      </c>
      <c r="AB11" s="311">
        <v>960</v>
      </c>
      <c r="AC11" s="311">
        <v>700</v>
      </c>
      <c r="AD11" s="311">
        <v>260</v>
      </c>
      <c r="AE11" s="66"/>
    </row>
    <row r="12" spans="2:31" ht="14.25" customHeight="1">
      <c r="B12" s="29"/>
      <c r="C12" s="29"/>
      <c r="D12" s="29"/>
      <c r="E12" s="356" t="s">
        <v>36</v>
      </c>
      <c r="F12" s="356"/>
      <c r="G12" s="356"/>
      <c r="H12" s="356"/>
      <c r="I12" s="356"/>
      <c r="J12" s="356"/>
      <c r="K12" s="356"/>
      <c r="L12" s="356"/>
      <c r="M12" s="356"/>
      <c r="N12" s="356"/>
      <c r="O12" s="356"/>
      <c r="P12" s="356"/>
      <c r="Q12" s="356"/>
      <c r="R12" s="356"/>
      <c r="S12" s="356"/>
      <c r="T12" s="356"/>
      <c r="U12" s="356"/>
      <c r="V12" s="356"/>
      <c r="W12" s="356"/>
      <c r="X12" s="162"/>
      <c r="Y12" s="311">
        <v>12903</v>
      </c>
      <c r="Z12" s="311">
        <v>11403</v>
      </c>
      <c r="AA12" s="311">
        <v>1500</v>
      </c>
      <c r="AB12" s="311">
        <v>11803</v>
      </c>
      <c r="AC12" s="311">
        <v>10463</v>
      </c>
      <c r="AD12" s="311">
        <v>1340</v>
      </c>
      <c r="AE12" s="66"/>
    </row>
    <row r="13" spans="2:31" ht="14.25" customHeight="1">
      <c r="B13" s="29"/>
      <c r="C13" s="29"/>
      <c r="D13" s="29"/>
      <c r="E13" s="356" t="s">
        <v>37</v>
      </c>
      <c r="F13" s="356"/>
      <c r="G13" s="356"/>
      <c r="H13" s="356"/>
      <c r="I13" s="356"/>
      <c r="J13" s="356"/>
      <c r="K13" s="356"/>
      <c r="L13" s="356"/>
      <c r="M13" s="356"/>
      <c r="N13" s="356"/>
      <c r="O13" s="356"/>
      <c r="P13" s="356"/>
      <c r="Q13" s="356"/>
      <c r="R13" s="356"/>
      <c r="S13" s="356"/>
      <c r="T13" s="356"/>
      <c r="U13" s="356"/>
      <c r="V13" s="356"/>
      <c r="W13" s="356"/>
      <c r="X13" s="162"/>
      <c r="Y13" s="311">
        <v>10420</v>
      </c>
      <c r="Z13" s="311">
        <v>3880</v>
      </c>
      <c r="AA13" s="311">
        <v>6540</v>
      </c>
      <c r="AB13" s="311">
        <v>8340</v>
      </c>
      <c r="AC13" s="311">
        <v>2380</v>
      </c>
      <c r="AD13" s="311">
        <v>5960</v>
      </c>
      <c r="AE13" s="66"/>
    </row>
    <row r="14" spans="2:31" ht="14.25" customHeight="1">
      <c r="B14" s="29"/>
      <c r="C14" s="29"/>
      <c r="D14" s="29"/>
      <c r="E14" s="356" t="s">
        <v>38</v>
      </c>
      <c r="F14" s="356"/>
      <c r="G14" s="356"/>
      <c r="H14" s="356"/>
      <c r="I14" s="356"/>
      <c r="J14" s="356"/>
      <c r="K14" s="356"/>
      <c r="L14" s="356"/>
      <c r="M14" s="356"/>
      <c r="N14" s="356"/>
      <c r="O14" s="356"/>
      <c r="P14" s="356"/>
      <c r="Q14" s="356"/>
      <c r="R14" s="356"/>
      <c r="S14" s="356"/>
      <c r="T14" s="356"/>
      <c r="U14" s="356"/>
      <c r="V14" s="356"/>
      <c r="W14" s="356"/>
      <c r="X14" s="162"/>
      <c r="Y14" s="311">
        <v>2480</v>
      </c>
      <c r="Z14" s="311">
        <v>400</v>
      </c>
      <c r="AA14" s="311">
        <v>2080</v>
      </c>
      <c r="AB14" s="311">
        <v>2440</v>
      </c>
      <c r="AC14" s="311">
        <v>380</v>
      </c>
      <c r="AD14" s="311">
        <v>2060</v>
      </c>
      <c r="AE14" s="66"/>
    </row>
    <row r="15" spans="2:31" ht="14.25" customHeight="1">
      <c r="B15" s="29"/>
      <c r="C15" s="29"/>
      <c r="D15" s="29"/>
      <c r="E15" s="356" t="s">
        <v>39</v>
      </c>
      <c r="F15" s="356"/>
      <c r="G15" s="356"/>
      <c r="H15" s="356"/>
      <c r="I15" s="356"/>
      <c r="J15" s="356"/>
      <c r="K15" s="356"/>
      <c r="L15" s="356"/>
      <c r="M15" s="356"/>
      <c r="N15" s="356"/>
      <c r="O15" s="356"/>
      <c r="P15" s="356"/>
      <c r="Q15" s="356"/>
      <c r="R15" s="356"/>
      <c r="S15" s="356"/>
      <c r="T15" s="356"/>
      <c r="U15" s="356"/>
      <c r="V15" s="356"/>
      <c r="W15" s="356"/>
      <c r="X15" s="162"/>
      <c r="Y15" s="311">
        <v>740</v>
      </c>
      <c r="Z15" s="311">
        <v>680</v>
      </c>
      <c r="AA15" s="311">
        <v>60</v>
      </c>
      <c r="AB15" s="311">
        <v>100</v>
      </c>
      <c r="AC15" s="311">
        <v>100</v>
      </c>
      <c r="AD15" s="329">
        <v>0</v>
      </c>
      <c r="AE15" s="66"/>
    </row>
    <row r="16" spans="2:31" ht="14.25" customHeight="1">
      <c r="B16" s="29"/>
      <c r="C16" s="29"/>
      <c r="D16" s="29"/>
      <c r="E16" s="39"/>
      <c r="F16" s="39"/>
      <c r="G16" s="39"/>
      <c r="H16" s="39"/>
      <c r="I16" s="39"/>
      <c r="J16" s="39"/>
      <c r="K16" s="39"/>
      <c r="L16" s="39"/>
      <c r="M16" s="39"/>
      <c r="N16" s="39"/>
      <c r="O16" s="39"/>
      <c r="P16" s="39"/>
      <c r="Q16" s="39"/>
      <c r="R16" s="39"/>
      <c r="S16" s="39"/>
      <c r="T16" s="39"/>
      <c r="U16" s="39"/>
      <c r="V16" s="39"/>
      <c r="W16" s="39"/>
      <c r="X16" s="162"/>
      <c r="Y16" s="121"/>
      <c r="Z16" s="121"/>
      <c r="AA16" s="121"/>
      <c r="AB16" s="121"/>
      <c r="AC16" s="121"/>
      <c r="AD16" s="121"/>
      <c r="AE16" s="66"/>
    </row>
    <row r="17" spans="2:31" ht="14.25" customHeight="1">
      <c r="B17" s="29"/>
      <c r="C17" s="29"/>
      <c r="D17" s="29"/>
      <c r="E17" s="356" t="s">
        <v>40</v>
      </c>
      <c r="F17" s="356"/>
      <c r="G17" s="356"/>
      <c r="H17" s="356"/>
      <c r="I17" s="356"/>
      <c r="J17" s="356"/>
      <c r="K17" s="356"/>
      <c r="L17" s="356"/>
      <c r="M17" s="356"/>
      <c r="N17" s="356"/>
      <c r="O17" s="356"/>
      <c r="P17" s="356"/>
      <c r="Q17" s="356"/>
      <c r="R17" s="356"/>
      <c r="S17" s="356"/>
      <c r="T17" s="356"/>
      <c r="U17" s="356"/>
      <c r="V17" s="356"/>
      <c r="W17" s="356"/>
      <c r="X17" s="162"/>
      <c r="Y17" s="311">
        <v>1320</v>
      </c>
      <c r="Z17" s="311">
        <v>1100</v>
      </c>
      <c r="AA17" s="311">
        <v>220</v>
      </c>
      <c r="AB17" s="311">
        <v>540</v>
      </c>
      <c r="AC17" s="311">
        <v>420</v>
      </c>
      <c r="AD17" s="311">
        <v>120</v>
      </c>
      <c r="AE17" s="66"/>
    </row>
    <row r="18" spans="2:31" ht="14.25" customHeight="1">
      <c r="B18" s="29"/>
      <c r="C18" s="29"/>
      <c r="D18" s="29"/>
      <c r="E18" s="356" t="s">
        <v>41</v>
      </c>
      <c r="F18" s="356"/>
      <c r="G18" s="356"/>
      <c r="H18" s="356"/>
      <c r="I18" s="356"/>
      <c r="J18" s="356"/>
      <c r="K18" s="356"/>
      <c r="L18" s="356"/>
      <c r="M18" s="356"/>
      <c r="N18" s="356"/>
      <c r="O18" s="356"/>
      <c r="P18" s="356"/>
      <c r="Q18" s="356"/>
      <c r="R18" s="356"/>
      <c r="S18" s="356"/>
      <c r="T18" s="356"/>
      <c r="U18" s="356"/>
      <c r="V18" s="356"/>
      <c r="W18" s="356"/>
      <c r="X18" s="162"/>
      <c r="Y18" s="311">
        <v>6183</v>
      </c>
      <c r="Z18" s="311">
        <v>3102</v>
      </c>
      <c r="AA18" s="311">
        <v>3081</v>
      </c>
      <c r="AB18" s="311">
        <v>6163</v>
      </c>
      <c r="AC18" s="311">
        <v>3102</v>
      </c>
      <c r="AD18" s="311">
        <v>3061</v>
      </c>
      <c r="AE18" s="66"/>
    </row>
    <row r="19" spans="2:31" ht="14.25" customHeight="1">
      <c r="B19" s="29"/>
      <c r="C19" s="29"/>
      <c r="D19" s="29"/>
      <c r="E19" s="356" t="s">
        <v>42</v>
      </c>
      <c r="F19" s="356"/>
      <c r="G19" s="356"/>
      <c r="H19" s="356"/>
      <c r="I19" s="356"/>
      <c r="J19" s="356"/>
      <c r="K19" s="356"/>
      <c r="L19" s="356"/>
      <c r="M19" s="356"/>
      <c r="N19" s="356"/>
      <c r="O19" s="356"/>
      <c r="P19" s="356"/>
      <c r="Q19" s="356"/>
      <c r="R19" s="356"/>
      <c r="S19" s="356"/>
      <c r="T19" s="356"/>
      <c r="U19" s="356"/>
      <c r="V19" s="356"/>
      <c r="W19" s="356"/>
      <c r="X19" s="162"/>
      <c r="Y19" s="311">
        <v>160</v>
      </c>
      <c r="Z19" s="311">
        <v>140</v>
      </c>
      <c r="AA19" s="311">
        <v>20</v>
      </c>
      <c r="AB19" s="311">
        <v>140</v>
      </c>
      <c r="AC19" s="311">
        <v>120</v>
      </c>
      <c r="AD19" s="311">
        <v>20</v>
      </c>
      <c r="AE19" s="66"/>
    </row>
    <row r="20" spans="2:31" ht="14.25" customHeight="1">
      <c r="B20" s="29"/>
      <c r="C20" s="29"/>
      <c r="D20" s="29"/>
      <c r="E20" s="356" t="s">
        <v>43</v>
      </c>
      <c r="F20" s="356"/>
      <c r="G20" s="356"/>
      <c r="H20" s="356"/>
      <c r="I20" s="356"/>
      <c r="J20" s="356"/>
      <c r="K20" s="356"/>
      <c r="L20" s="356"/>
      <c r="M20" s="356"/>
      <c r="N20" s="356"/>
      <c r="O20" s="356"/>
      <c r="P20" s="356"/>
      <c r="Q20" s="356"/>
      <c r="R20" s="356"/>
      <c r="S20" s="356"/>
      <c r="T20" s="356"/>
      <c r="U20" s="356"/>
      <c r="V20" s="356"/>
      <c r="W20" s="356"/>
      <c r="X20" s="162"/>
      <c r="Y20" s="311">
        <v>2541</v>
      </c>
      <c r="Z20" s="311">
        <v>1680</v>
      </c>
      <c r="AA20" s="311">
        <v>861</v>
      </c>
      <c r="AB20" s="311">
        <v>1900</v>
      </c>
      <c r="AC20" s="311">
        <v>1340</v>
      </c>
      <c r="AD20" s="311">
        <v>560</v>
      </c>
      <c r="AE20" s="66"/>
    </row>
    <row r="21" spans="2:31" ht="14.25" customHeight="1">
      <c r="B21" s="29"/>
      <c r="C21" s="29"/>
      <c r="D21" s="29"/>
      <c r="E21" s="356" t="s">
        <v>44</v>
      </c>
      <c r="F21" s="356"/>
      <c r="G21" s="356"/>
      <c r="H21" s="356"/>
      <c r="I21" s="356"/>
      <c r="J21" s="356"/>
      <c r="K21" s="356"/>
      <c r="L21" s="356"/>
      <c r="M21" s="356"/>
      <c r="N21" s="356"/>
      <c r="O21" s="356"/>
      <c r="P21" s="356"/>
      <c r="Q21" s="356"/>
      <c r="R21" s="356"/>
      <c r="S21" s="356"/>
      <c r="T21" s="356"/>
      <c r="U21" s="356"/>
      <c r="V21" s="356"/>
      <c r="W21" s="356"/>
      <c r="X21" s="162"/>
      <c r="Y21" s="311">
        <v>3661</v>
      </c>
      <c r="Z21" s="311">
        <v>2580</v>
      </c>
      <c r="AA21" s="311">
        <v>1081</v>
      </c>
      <c r="AB21" s="311">
        <v>2001</v>
      </c>
      <c r="AC21" s="311">
        <v>1420</v>
      </c>
      <c r="AD21" s="311">
        <v>581</v>
      </c>
      <c r="AE21" s="66"/>
    </row>
    <row r="22" spans="2:31" ht="14.25" customHeight="1">
      <c r="B22" s="29"/>
      <c r="C22" s="29"/>
      <c r="D22" s="29"/>
      <c r="E22" s="39"/>
      <c r="F22" s="39"/>
      <c r="G22" s="39"/>
      <c r="H22" s="39"/>
      <c r="I22" s="39"/>
      <c r="J22" s="39"/>
      <c r="K22" s="39"/>
      <c r="L22" s="39"/>
      <c r="M22" s="39"/>
      <c r="N22" s="39"/>
      <c r="O22" s="39"/>
      <c r="P22" s="39"/>
      <c r="Q22" s="39"/>
      <c r="R22" s="39"/>
      <c r="S22" s="39"/>
      <c r="T22" s="39"/>
      <c r="U22" s="39"/>
      <c r="V22" s="39"/>
      <c r="W22" s="39"/>
      <c r="X22" s="162"/>
      <c r="Y22" s="121"/>
      <c r="Z22" s="121"/>
      <c r="AA22" s="121"/>
      <c r="AB22" s="121"/>
      <c r="AC22" s="121"/>
      <c r="AD22" s="121"/>
      <c r="AE22" s="66"/>
    </row>
    <row r="23" spans="2:31" ht="14.25" customHeight="1">
      <c r="B23" s="29"/>
      <c r="C23" s="29"/>
      <c r="D23" s="29"/>
      <c r="E23" s="356" t="s">
        <v>45</v>
      </c>
      <c r="F23" s="356"/>
      <c r="G23" s="356"/>
      <c r="H23" s="356"/>
      <c r="I23" s="356"/>
      <c r="J23" s="356"/>
      <c r="K23" s="356"/>
      <c r="L23" s="356"/>
      <c r="M23" s="356"/>
      <c r="N23" s="356"/>
      <c r="O23" s="356"/>
      <c r="P23" s="356"/>
      <c r="Q23" s="356"/>
      <c r="R23" s="356"/>
      <c r="S23" s="356"/>
      <c r="T23" s="356"/>
      <c r="U23" s="356"/>
      <c r="V23" s="356"/>
      <c r="W23" s="356"/>
      <c r="X23" s="162"/>
      <c r="Y23" s="311">
        <v>2488</v>
      </c>
      <c r="Z23" s="311">
        <v>1263</v>
      </c>
      <c r="AA23" s="311">
        <v>1225</v>
      </c>
      <c r="AB23" s="311">
        <v>1065</v>
      </c>
      <c r="AC23" s="311">
        <v>562</v>
      </c>
      <c r="AD23" s="311">
        <v>503</v>
      </c>
      <c r="AE23" s="66"/>
    </row>
    <row r="24" spans="2:31" ht="14.25" customHeight="1">
      <c r="B24" s="29"/>
      <c r="C24" s="29"/>
      <c r="D24" s="29"/>
      <c r="E24" s="356" t="s">
        <v>46</v>
      </c>
      <c r="F24" s="356"/>
      <c r="G24" s="356"/>
      <c r="H24" s="356"/>
      <c r="I24" s="356"/>
      <c r="J24" s="356"/>
      <c r="K24" s="356"/>
      <c r="L24" s="356"/>
      <c r="M24" s="356"/>
      <c r="N24" s="356"/>
      <c r="O24" s="356"/>
      <c r="P24" s="356"/>
      <c r="Q24" s="356"/>
      <c r="R24" s="356"/>
      <c r="S24" s="356"/>
      <c r="T24" s="356"/>
      <c r="U24" s="356"/>
      <c r="V24" s="356"/>
      <c r="W24" s="356"/>
      <c r="X24" s="162"/>
      <c r="Y24" s="311">
        <v>4173</v>
      </c>
      <c r="Z24" s="311">
        <v>2272</v>
      </c>
      <c r="AA24" s="311">
        <v>1901</v>
      </c>
      <c r="AB24" s="311">
        <v>3113</v>
      </c>
      <c r="AC24" s="311">
        <v>1732</v>
      </c>
      <c r="AD24" s="311">
        <v>1381</v>
      </c>
      <c r="AE24" s="66"/>
    </row>
    <row r="25" spans="2:31" ht="14.25" customHeight="1">
      <c r="B25" s="29"/>
      <c r="C25" s="29"/>
      <c r="D25" s="29"/>
      <c r="E25" s="29"/>
      <c r="F25" s="29"/>
      <c r="G25" s="29"/>
      <c r="H25" s="29"/>
      <c r="I25" s="29"/>
      <c r="J25" s="29"/>
      <c r="K25" s="29"/>
      <c r="L25" s="29"/>
      <c r="M25" s="29"/>
      <c r="N25" s="29"/>
      <c r="O25" s="29"/>
      <c r="P25" s="29"/>
      <c r="Q25" s="29"/>
      <c r="R25" s="29"/>
      <c r="S25" s="29"/>
      <c r="T25" s="29"/>
      <c r="U25" s="29"/>
      <c r="V25" s="29"/>
      <c r="W25" s="29"/>
      <c r="X25" s="149"/>
      <c r="Y25" s="121"/>
      <c r="Z25" s="121"/>
      <c r="AA25" s="121"/>
      <c r="AB25" s="121"/>
      <c r="AC25" s="121"/>
      <c r="AD25" s="121"/>
      <c r="AE25" s="66"/>
    </row>
    <row r="26" spans="2:31" ht="14.25" customHeight="1">
      <c r="B26" s="29"/>
      <c r="C26" s="538" t="s">
        <v>557</v>
      </c>
      <c r="D26" s="538"/>
      <c r="E26" s="444" t="s">
        <v>47</v>
      </c>
      <c r="F26" s="444"/>
      <c r="G26" s="444"/>
      <c r="H26" s="444"/>
      <c r="I26" s="444"/>
      <c r="J26" s="444"/>
      <c r="K26" s="444"/>
      <c r="L26" s="444"/>
      <c r="M26" s="444"/>
      <c r="N26" s="444"/>
      <c r="O26" s="444"/>
      <c r="P26" s="444"/>
      <c r="Q26" s="444"/>
      <c r="R26" s="444"/>
      <c r="S26" s="444"/>
      <c r="T26" s="444"/>
      <c r="U26" s="444"/>
      <c r="V26" s="444"/>
      <c r="W26" s="444"/>
      <c r="X26" s="161"/>
      <c r="Y26" s="312">
        <v>9482</v>
      </c>
      <c r="Z26" s="312">
        <v>8242</v>
      </c>
      <c r="AA26" s="312">
        <v>1240</v>
      </c>
      <c r="AB26" s="312">
        <v>9262</v>
      </c>
      <c r="AC26" s="312">
        <v>8082</v>
      </c>
      <c r="AD26" s="312">
        <v>1180</v>
      </c>
      <c r="AE26" s="66"/>
    </row>
    <row r="27" spans="2:31" ht="14.25" customHeight="1">
      <c r="B27" s="29"/>
      <c r="C27" s="29"/>
      <c r="D27" s="29"/>
      <c r="E27" s="356" t="s">
        <v>48</v>
      </c>
      <c r="F27" s="356"/>
      <c r="G27" s="356"/>
      <c r="H27" s="356"/>
      <c r="I27" s="356"/>
      <c r="J27" s="356"/>
      <c r="K27" s="356"/>
      <c r="L27" s="356"/>
      <c r="M27" s="356"/>
      <c r="N27" s="356"/>
      <c r="O27" s="356"/>
      <c r="P27" s="356"/>
      <c r="Q27" s="356"/>
      <c r="R27" s="356"/>
      <c r="S27" s="356"/>
      <c r="T27" s="356"/>
      <c r="U27" s="356"/>
      <c r="V27" s="356"/>
      <c r="W27" s="356"/>
      <c r="X27" s="162"/>
      <c r="Y27" s="311">
        <v>180</v>
      </c>
      <c r="Z27" s="311">
        <v>160</v>
      </c>
      <c r="AA27" s="311">
        <v>20</v>
      </c>
      <c r="AB27" s="311">
        <v>180</v>
      </c>
      <c r="AC27" s="311">
        <v>160</v>
      </c>
      <c r="AD27" s="311">
        <v>20</v>
      </c>
      <c r="AE27" s="66"/>
    </row>
    <row r="28" spans="2:31" ht="14.25" customHeight="1">
      <c r="B28" s="29"/>
      <c r="C28" s="29"/>
      <c r="D28" s="29"/>
      <c r="E28" s="356" t="s">
        <v>49</v>
      </c>
      <c r="F28" s="356"/>
      <c r="G28" s="356"/>
      <c r="H28" s="356"/>
      <c r="I28" s="356"/>
      <c r="J28" s="356"/>
      <c r="K28" s="356"/>
      <c r="L28" s="356"/>
      <c r="M28" s="356"/>
      <c r="N28" s="356"/>
      <c r="O28" s="356"/>
      <c r="P28" s="356"/>
      <c r="Q28" s="356"/>
      <c r="R28" s="356"/>
      <c r="S28" s="356"/>
      <c r="T28" s="356"/>
      <c r="U28" s="356"/>
      <c r="V28" s="356"/>
      <c r="W28" s="356"/>
      <c r="X28" s="162"/>
      <c r="Y28" s="311">
        <v>7842</v>
      </c>
      <c r="Z28" s="311">
        <v>6702</v>
      </c>
      <c r="AA28" s="311">
        <v>1140</v>
      </c>
      <c r="AB28" s="311">
        <v>7842</v>
      </c>
      <c r="AC28" s="311">
        <v>6702</v>
      </c>
      <c r="AD28" s="311">
        <v>1140</v>
      </c>
      <c r="AE28" s="66"/>
    </row>
    <row r="29" spans="2:31" ht="14.25" customHeight="1">
      <c r="B29" s="29"/>
      <c r="C29" s="29"/>
      <c r="D29" s="29"/>
      <c r="E29" s="356" t="s">
        <v>50</v>
      </c>
      <c r="F29" s="356"/>
      <c r="G29" s="356"/>
      <c r="H29" s="356"/>
      <c r="I29" s="356"/>
      <c r="J29" s="356"/>
      <c r="K29" s="356"/>
      <c r="L29" s="356"/>
      <c r="M29" s="356"/>
      <c r="N29" s="356"/>
      <c r="O29" s="356"/>
      <c r="P29" s="356"/>
      <c r="Q29" s="356"/>
      <c r="R29" s="356"/>
      <c r="S29" s="356"/>
      <c r="T29" s="356"/>
      <c r="U29" s="356"/>
      <c r="V29" s="356"/>
      <c r="W29" s="356"/>
      <c r="X29" s="162"/>
      <c r="Y29" s="311">
        <v>1460</v>
      </c>
      <c r="Z29" s="311">
        <v>1380</v>
      </c>
      <c r="AA29" s="311">
        <v>80</v>
      </c>
      <c r="AB29" s="311">
        <v>1240</v>
      </c>
      <c r="AC29" s="311">
        <v>1220</v>
      </c>
      <c r="AD29" s="311">
        <v>20</v>
      </c>
      <c r="AE29" s="66"/>
    </row>
    <row r="30" spans="2:31" ht="14.25" customHeight="1">
      <c r="B30" s="29"/>
      <c r="C30" s="29"/>
      <c r="D30" s="29"/>
      <c r="E30" s="29"/>
      <c r="F30" s="29"/>
      <c r="G30" s="29"/>
      <c r="H30" s="29"/>
      <c r="I30" s="29"/>
      <c r="J30" s="29"/>
      <c r="K30" s="29"/>
      <c r="L30" s="29"/>
      <c r="M30" s="29"/>
      <c r="N30" s="29"/>
      <c r="O30" s="29"/>
      <c r="P30" s="29"/>
      <c r="Q30" s="29"/>
      <c r="R30" s="29"/>
      <c r="S30" s="29"/>
      <c r="T30" s="29"/>
      <c r="U30" s="29"/>
      <c r="V30" s="29"/>
      <c r="W30" s="29"/>
      <c r="X30" s="149"/>
      <c r="Y30" s="121"/>
      <c r="Z30" s="121"/>
      <c r="AA30" s="121"/>
      <c r="AB30" s="121"/>
      <c r="AC30" s="121"/>
      <c r="AD30" s="121"/>
      <c r="AE30" s="66"/>
    </row>
    <row r="31" spans="2:31" ht="14.25" customHeight="1">
      <c r="B31" s="29"/>
      <c r="C31" s="538" t="s">
        <v>558</v>
      </c>
      <c r="D31" s="538"/>
      <c r="E31" s="444" t="s">
        <v>51</v>
      </c>
      <c r="F31" s="444"/>
      <c r="G31" s="444"/>
      <c r="H31" s="444"/>
      <c r="I31" s="444"/>
      <c r="J31" s="444"/>
      <c r="K31" s="444"/>
      <c r="L31" s="444"/>
      <c r="M31" s="444"/>
      <c r="N31" s="444"/>
      <c r="O31" s="444"/>
      <c r="P31" s="444"/>
      <c r="Q31" s="444"/>
      <c r="R31" s="444"/>
      <c r="S31" s="444"/>
      <c r="T31" s="444"/>
      <c r="U31" s="444"/>
      <c r="V31" s="444"/>
      <c r="W31" s="444"/>
      <c r="X31" s="161"/>
      <c r="Y31" s="312">
        <v>73540</v>
      </c>
      <c r="Z31" s="312">
        <v>29908</v>
      </c>
      <c r="AA31" s="312">
        <v>43632</v>
      </c>
      <c r="AB31" s="312">
        <v>70519</v>
      </c>
      <c r="AC31" s="312">
        <v>29528</v>
      </c>
      <c r="AD31" s="312">
        <v>40991</v>
      </c>
      <c r="AE31" s="66"/>
    </row>
    <row r="32" spans="2:31" ht="14.25" customHeight="1">
      <c r="B32" s="29"/>
      <c r="C32" s="29"/>
      <c r="D32" s="29"/>
      <c r="E32" s="356" t="s">
        <v>52</v>
      </c>
      <c r="F32" s="356"/>
      <c r="G32" s="356"/>
      <c r="H32" s="356"/>
      <c r="I32" s="356"/>
      <c r="J32" s="356"/>
      <c r="K32" s="356"/>
      <c r="L32" s="356"/>
      <c r="M32" s="356"/>
      <c r="N32" s="356"/>
      <c r="O32" s="356"/>
      <c r="P32" s="356"/>
      <c r="Q32" s="356"/>
      <c r="R32" s="356"/>
      <c r="S32" s="356"/>
      <c r="T32" s="356"/>
      <c r="U32" s="356"/>
      <c r="V32" s="356"/>
      <c r="W32" s="356"/>
      <c r="X32" s="162"/>
      <c r="Y32" s="311">
        <v>70299</v>
      </c>
      <c r="Z32" s="311">
        <v>28447</v>
      </c>
      <c r="AA32" s="311">
        <v>41852</v>
      </c>
      <c r="AB32" s="311">
        <v>67558</v>
      </c>
      <c r="AC32" s="311">
        <v>28107</v>
      </c>
      <c r="AD32" s="311">
        <v>39451</v>
      </c>
      <c r="AE32" s="66"/>
    </row>
    <row r="33" spans="2:31" ht="14.25" customHeight="1">
      <c r="B33" s="29"/>
      <c r="C33" s="29"/>
      <c r="D33" s="29"/>
      <c r="E33" s="356" t="s">
        <v>53</v>
      </c>
      <c r="F33" s="356"/>
      <c r="G33" s="356"/>
      <c r="H33" s="356"/>
      <c r="I33" s="356"/>
      <c r="J33" s="356"/>
      <c r="K33" s="356"/>
      <c r="L33" s="356"/>
      <c r="M33" s="356"/>
      <c r="N33" s="356"/>
      <c r="O33" s="356"/>
      <c r="P33" s="356"/>
      <c r="Q33" s="356"/>
      <c r="R33" s="356"/>
      <c r="S33" s="356"/>
      <c r="T33" s="356"/>
      <c r="U33" s="356"/>
      <c r="V33" s="356"/>
      <c r="W33" s="356"/>
      <c r="X33" s="162"/>
      <c r="Y33" s="311">
        <v>420</v>
      </c>
      <c r="Z33" s="311">
        <v>100</v>
      </c>
      <c r="AA33" s="311">
        <v>320</v>
      </c>
      <c r="AB33" s="311">
        <v>220</v>
      </c>
      <c r="AC33" s="311">
        <v>60</v>
      </c>
      <c r="AD33" s="311">
        <v>160</v>
      </c>
      <c r="AE33" s="66"/>
    </row>
    <row r="34" spans="2:31" ht="14.25" customHeight="1">
      <c r="B34" s="29"/>
      <c r="C34" s="29"/>
      <c r="D34" s="29"/>
      <c r="E34" s="356" t="s">
        <v>54</v>
      </c>
      <c r="F34" s="356"/>
      <c r="G34" s="356"/>
      <c r="H34" s="356"/>
      <c r="I34" s="356"/>
      <c r="J34" s="356"/>
      <c r="K34" s="356"/>
      <c r="L34" s="356"/>
      <c r="M34" s="356"/>
      <c r="N34" s="356"/>
      <c r="O34" s="356"/>
      <c r="P34" s="356"/>
      <c r="Q34" s="356"/>
      <c r="R34" s="356"/>
      <c r="S34" s="356"/>
      <c r="T34" s="356"/>
      <c r="U34" s="356"/>
      <c r="V34" s="356"/>
      <c r="W34" s="356"/>
      <c r="X34" s="162"/>
      <c r="Y34" s="311">
        <v>1161</v>
      </c>
      <c r="Z34" s="311">
        <v>741</v>
      </c>
      <c r="AA34" s="311">
        <v>420</v>
      </c>
      <c r="AB34" s="311">
        <v>1161</v>
      </c>
      <c r="AC34" s="311">
        <v>741</v>
      </c>
      <c r="AD34" s="311">
        <v>420</v>
      </c>
      <c r="AE34" s="66"/>
    </row>
    <row r="35" spans="2:31" ht="14.25" customHeight="1">
      <c r="B35" s="29"/>
      <c r="C35" s="29"/>
      <c r="D35" s="29"/>
      <c r="E35" s="356" t="s">
        <v>55</v>
      </c>
      <c r="F35" s="356"/>
      <c r="G35" s="356"/>
      <c r="H35" s="356"/>
      <c r="I35" s="356"/>
      <c r="J35" s="356"/>
      <c r="K35" s="356"/>
      <c r="L35" s="356"/>
      <c r="M35" s="356"/>
      <c r="N35" s="356"/>
      <c r="O35" s="356"/>
      <c r="P35" s="356"/>
      <c r="Q35" s="356"/>
      <c r="R35" s="356"/>
      <c r="S35" s="356"/>
      <c r="T35" s="356"/>
      <c r="U35" s="356"/>
      <c r="V35" s="356"/>
      <c r="W35" s="356"/>
      <c r="X35" s="162"/>
      <c r="Y35" s="311">
        <v>1660</v>
      </c>
      <c r="Z35" s="311">
        <v>620</v>
      </c>
      <c r="AA35" s="311">
        <v>1040</v>
      </c>
      <c r="AB35" s="311">
        <v>1580</v>
      </c>
      <c r="AC35" s="311">
        <v>620</v>
      </c>
      <c r="AD35" s="311">
        <v>960</v>
      </c>
      <c r="AE35" s="66"/>
    </row>
    <row r="36" spans="2:31" ht="14.25" customHeight="1">
      <c r="B36" s="29"/>
      <c r="C36" s="29"/>
      <c r="D36" s="29"/>
      <c r="E36" s="29"/>
      <c r="F36" s="29"/>
      <c r="G36" s="29"/>
      <c r="H36" s="29"/>
      <c r="I36" s="29"/>
      <c r="J36" s="29"/>
      <c r="K36" s="29"/>
      <c r="L36" s="29"/>
      <c r="M36" s="29"/>
      <c r="N36" s="29"/>
      <c r="O36" s="29"/>
      <c r="P36" s="29"/>
      <c r="Q36" s="29"/>
      <c r="R36" s="29"/>
      <c r="S36" s="29"/>
      <c r="T36" s="29"/>
      <c r="U36" s="29"/>
      <c r="V36" s="29"/>
      <c r="W36" s="29"/>
      <c r="X36" s="149"/>
      <c r="Y36" s="121"/>
      <c r="Z36" s="121"/>
      <c r="AA36" s="121"/>
      <c r="AB36" s="121"/>
      <c r="AC36" s="121"/>
      <c r="AD36" s="121"/>
      <c r="AE36" s="66"/>
    </row>
    <row r="37" spans="2:31" ht="14.25" customHeight="1">
      <c r="B37" s="29"/>
      <c r="C37" s="538" t="s">
        <v>559</v>
      </c>
      <c r="D37" s="538"/>
      <c r="E37" s="444" t="s">
        <v>469</v>
      </c>
      <c r="F37" s="444"/>
      <c r="G37" s="444"/>
      <c r="H37" s="444"/>
      <c r="I37" s="444"/>
      <c r="J37" s="444"/>
      <c r="K37" s="444"/>
      <c r="L37" s="444"/>
      <c r="M37" s="444"/>
      <c r="N37" s="444"/>
      <c r="O37" s="444"/>
      <c r="P37" s="444"/>
      <c r="Q37" s="444"/>
      <c r="R37" s="444"/>
      <c r="S37" s="444"/>
      <c r="T37" s="444"/>
      <c r="U37" s="444"/>
      <c r="V37" s="444"/>
      <c r="W37" s="444"/>
      <c r="X37" s="161"/>
      <c r="Y37" s="312">
        <v>46488</v>
      </c>
      <c r="Z37" s="312">
        <v>31808</v>
      </c>
      <c r="AA37" s="312">
        <v>14680</v>
      </c>
      <c r="AB37" s="312">
        <v>39728</v>
      </c>
      <c r="AC37" s="312">
        <v>28048</v>
      </c>
      <c r="AD37" s="312">
        <v>11680</v>
      </c>
      <c r="AE37" s="66"/>
    </row>
    <row r="38" spans="2:31" ht="14.25" customHeight="1">
      <c r="B38" s="29"/>
      <c r="C38" s="29"/>
      <c r="D38" s="29"/>
      <c r="E38" s="356" t="s">
        <v>56</v>
      </c>
      <c r="F38" s="356"/>
      <c r="G38" s="356"/>
      <c r="H38" s="356"/>
      <c r="I38" s="356"/>
      <c r="J38" s="356"/>
      <c r="K38" s="356"/>
      <c r="L38" s="356"/>
      <c r="M38" s="356"/>
      <c r="N38" s="356"/>
      <c r="O38" s="356"/>
      <c r="P38" s="356"/>
      <c r="Q38" s="356"/>
      <c r="R38" s="356"/>
      <c r="S38" s="356"/>
      <c r="T38" s="356"/>
      <c r="U38" s="356"/>
      <c r="V38" s="356"/>
      <c r="W38" s="356"/>
      <c r="X38" s="162"/>
      <c r="Y38" s="311">
        <v>30187</v>
      </c>
      <c r="Z38" s="311">
        <v>19588</v>
      </c>
      <c r="AA38" s="311">
        <v>10599</v>
      </c>
      <c r="AB38" s="311">
        <v>25807</v>
      </c>
      <c r="AC38" s="311">
        <v>17228</v>
      </c>
      <c r="AD38" s="311">
        <v>8579</v>
      </c>
      <c r="AE38" s="66"/>
    </row>
    <row r="39" spans="2:31" ht="14.25" customHeight="1">
      <c r="B39" s="29"/>
      <c r="C39" s="29"/>
      <c r="D39" s="29"/>
      <c r="E39" s="356" t="s">
        <v>57</v>
      </c>
      <c r="F39" s="356"/>
      <c r="G39" s="356"/>
      <c r="H39" s="356"/>
      <c r="I39" s="356"/>
      <c r="J39" s="356"/>
      <c r="K39" s="356"/>
      <c r="L39" s="356"/>
      <c r="M39" s="356"/>
      <c r="N39" s="356"/>
      <c r="O39" s="356"/>
      <c r="P39" s="356"/>
      <c r="Q39" s="356"/>
      <c r="R39" s="356"/>
      <c r="S39" s="356"/>
      <c r="T39" s="356"/>
      <c r="U39" s="356"/>
      <c r="V39" s="356"/>
      <c r="W39" s="356"/>
      <c r="X39" s="162"/>
      <c r="Y39" s="311">
        <v>16301</v>
      </c>
      <c r="Z39" s="311">
        <v>12220</v>
      </c>
      <c r="AA39" s="311">
        <v>4081</v>
      </c>
      <c r="AB39" s="311">
        <v>13921</v>
      </c>
      <c r="AC39" s="311">
        <v>10820</v>
      </c>
      <c r="AD39" s="311">
        <v>3101</v>
      </c>
      <c r="AE39" s="66"/>
    </row>
    <row r="40" spans="2:31" ht="14.25" customHeight="1">
      <c r="B40" s="29"/>
      <c r="C40" s="29"/>
      <c r="D40" s="29"/>
      <c r="E40" s="29"/>
      <c r="F40" s="29"/>
      <c r="G40" s="29"/>
      <c r="H40" s="29"/>
      <c r="I40" s="29"/>
      <c r="J40" s="29"/>
      <c r="K40" s="29"/>
      <c r="L40" s="29"/>
      <c r="M40" s="29"/>
      <c r="N40" s="29"/>
      <c r="O40" s="29"/>
      <c r="P40" s="29"/>
      <c r="Q40" s="29"/>
      <c r="R40" s="29"/>
      <c r="S40" s="29"/>
      <c r="T40" s="29"/>
      <c r="U40" s="29"/>
      <c r="V40" s="29"/>
      <c r="W40" s="29"/>
      <c r="X40" s="149"/>
      <c r="Y40" s="121"/>
      <c r="Z40" s="121"/>
      <c r="AA40" s="121"/>
      <c r="AB40" s="121"/>
      <c r="AC40" s="121"/>
      <c r="AD40" s="121"/>
      <c r="AE40" s="66"/>
    </row>
    <row r="41" spans="2:31" ht="14.25" customHeight="1">
      <c r="B41" s="29"/>
      <c r="C41" s="538" t="s">
        <v>560</v>
      </c>
      <c r="D41" s="538"/>
      <c r="E41" s="444" t="s">
        <v>58</v>
      </c>
      <c r="F41" s="444"/>
      <c r="G41" s="444"/>
      <c r="H41" s="444"/>
      <c r="I41" s="444"/>
      <c r="J41" s="444"/>
      <c r="K41" s="444"/>
      <c r="L41" s="444"/>
      <c r="M41" s="444"/>
      <c r="N41" s="444"/>
      <c r="O41" s="444"/>
      <c r="P41" s="444"/>
      <c r="Q41" s="444"/>
      <c r="R41" s="444"/>
      <c r="S41" s="444"/>
      <c r="T41" s="444"/>
      <c r="U41" s="444"/>
      <c r="V41" s="444"/>
      <c r="W41" s="444"/>
      <c r="X41" s="161"/>
      <c r="Y41" s="312">
        <v>28732</v>
      </c>
      <c r="Z41" s="312">
        <v>11073</v>
      </c>
      <c r="AA41" s="312">
        <v>17659</v>
      </c>
      <c r="AB41" s="312">
        <v>23272</v>
      </c>
      <c r="AC41" s="312">
        <v>8473</v>
      </c>
      <c r="AD41" s="312">
        <v>14799</v>
      </c>
      <c r="AE41" s="66"/>
    </row>
    <row r="42" spans="2:31" ht="14.25" customHeight="1">
      <c r="B42" s="29"/>
      <c r="C42" s="29"/>
      <c r="D42" s="29"/>
      <c r="E42" s="356" t="s">
        <v>59</v>
      </c>
      <c r="F42" s="356"/>
      <c r="G42" s="356"/>
      <c r="H42" s="356"/>
      <c r="I42" s="356"/>
      <c r="J42" s="356"/>
      <c r="K42" s="356"/>
      <c r="L42" s="356"/>
      <c r="M42" s="356"/>
      <c r="N42" s="356"/>
      <c r="O42" s="356"/>
      <c r="P42" s="356"/>
      <c r="Q42" s="356"/>
      <c r="R42" s="356"/>
      <c r="S42" s="356"/>
      <c r="T42" s="356"/>
      <c r="U42" s="356"/>
      <c r="V42" s="356"/>
      <c r="W42" s="356"/>
      <c r="X42" s="162"/>
      <c r="Y42" s="311">
        <v>3080</v>
      </c>
      <c r="Z42" s="311">
        <v>260</v>
      </c>
      <c r="AA42" s="311">
        <v>2820</v>
      </c>
      <c r="AB42" s="311">
        <v>2860</v>
      </c>
      <c r="AC42" s="311">
        <v>180</v>
      </c>
      <c r="AD42" s="311">
        <v>2680</v>
      </c>
      <c r="AE42" s="66"/>
    </row>
    <row r="43" spans="2:31" ht="14.25" customHeight="1">
      <c r="B43" s="29"/>
      <c r="C43" s="29"/>
      <c r="D43" s="29"/>
      <c r="E43" s="356" t="s">
        <v>60</v>
      </c>
      <c r="F43" s="356"/>
      <c r="G43" s="356"/>
      <c r="H43" s="356"/>
      <c r="I43" s="356"/>
      <c r="J43" s="356"/>
      <c r="K43" s="356"/>
      <c r="L43" s="356"/>
      <c r="M43" s="356"/>
      <c r="N43" s="356"/>
      <c r="O43" s="356"/>
      <c r="P43" s="356"/>
      <c r="Q43" s="356"/>
      <c r="R43" s="356"/>
      <c r="S43" s="356"/>
      <c r="T43" s="356"/>
      <c r="U43" s="356"/>
      <c r="V43" s="356"/>
      <c r="W43" s="356"/>
      <c r="X43" s="162"/>
      <c r="Y43" s="311">
        <v>3482</v>
      </c>
      <c r="Z43" s="311">
        <v>1501</v>
      </c>
      <c r="AA43" s="311">
        <v>1981</v>
      </c>
      <c r="AB43" s="311">
        <v>1562</v>
      </c>
      <c r="AC43" s="311">
        <v>501</v>
      </c>
      <c r="AD43" s="311">
        <v>1061</v>
      </c>
      <c r="AE43" s="66"/>
    </row>
    <row r="44" spans="2:31" ht="14.25" customHeight="1">
      <c r="B44" s="29"/>
      <c r="C44" s="29"/>
      <c r="D44" s="29"/>
      <c r="E44" s="356" t="s">
        <v>61</v>
      </c>
      <c r="F44" s="356"/>
      <c r="G44" s="356"/>
      <c r="H44" s="356"/>
      <c r="I44" s="356"/>
      <c r="J44" s="356"/>
      <c r="K44" s="356"/>
      <c r="L44" s="356"/>
      <c r="M44" s="356"/>
      <c r="N44" s="356"/>
      <c r="O44" s="356"/>
      <c r="P44" s="356"/>
      <c r="Q44" s="356"/>
      <c r="R44" s="356"/>
      <c r="S44" s="356"/>
      <c r="T44" s="356"/>
      <c r="U44" s="356"/>
      <c r="V44" s="356"/>
      <c r="W44" s="356"/>
      <c r="X44" s="162"/>
      <c r="Y44" s="311">
        <v>7993</v>
      </c>
      <c r="Z44" s="311">
        <v>4353</v>
      </c>
      <c r="AA44" s="311">
        <v>3640</v>
      </c>
      <c r="AB44" s="311">
        <v>6233</v>
      </c>
      <c r="AC44" s="311">
        <v>3233</v>
      </c>
      <c r="AD44" s="311">
        <v>3000</v>
      </c>
      <c r="AE44" s="66"/>
    </row>
    <row r="45" spans="2:31" ht="14.25" customHeight="1">
      <c r="B45" s="29"/>
      <c r="C45" s="29"/>
      <c r="D45" s="29"/>
      <c r="E45" s="356" t="s">
        <v>62</v>
      </c>
      <c r="F45" s="356"/>
      <c r="G45" s="356"/>
      <c r="H45" s="356"/>
      <c r="I45" s="356"/>
      <c r="J45" s="356"/>
      <c r="K45" s="356"/>
      <c r="L45" s="356"/>
      <c r="M45" s="356"/>
      <c r="N45" s="356"/>
      <c r="O45" s="356"/>
      <c r="P45" s="356"/>
      <c r="Q45" s="356"/>
      <c r="R45" s="356"/>
      <c r="S45" s="356"/>
      <c r="T45" s="356"/>
      <c r="U45" s="356"/>
      <c r="V45" s="356"/>
      <c r="W45" s="356"/>
      <c r="X45" s="162"/>
      <c r="Y45" s="311">
        <v>6932</v>
      </c>
      <c r="Z45" s="311">
        <v>2074</v>
      </c>
      <c r="AA45" s="311">
        <v>4858</v>
      </c>
      <c r="AB45" s="311">
        <v>6012</v>
      </c>
      <c r="AC45" s="311">
        <v>1914</v>
      </c>
      <c r="AD45" s="311">
        <v>4098</v>
      </c>
      <c r="AE45" s="66"/>
    </row>
    <row r="46" spans="2:31" ht="14.25" customHeight="1">
      <c r="B46" s="29"/>
      <c r="C46" s="29"/>
      <c r="D46" s="29"/>
      <c r="E46" s="356" t="s">
        <v>549</v>
      </c>
      <c r="F46" s="356"/>
      <c r="G46" s="356"/>
      <c r="H46" s="356"/>
      <c r="I46" s="356"/>
      <c r="J46" s="356"/>
      <c r="K46" s="356"/>
      <c r="L46" s="356"/>
      <c r="M46" s="356"/>
      <c r="N46" s="356"/>
      <c r="O46" s="356"/>
      <c r="P46" s="356"/>
      <c r="Q46" s="356"/>
      <c r="R46" s="356"/>
      <c r="S46" s="356"/>
      <c r="T46" s="356"/>
      <c r="U46" s="356"/>
      <c r="V46" s="356"/>
      <c r="W46" s="356"/>
      <c r="X46" s="162"/>
      <c r="Y46" s="311">
        <v>2701</v>
      </c>
      <c r="Z46" s="311">
        <v>1761</v>
      </c>
      <c r="AA46" s="311">
        <v>940</v>
      </c>
      <c r="AB46" s="311">
        <v>2261</v>
      </c>
      <c r="AC46" s="311">
        <v>1581</v>
      </c>
      <c r="AD46" s="311">
        <v>680</v>
      </c>
      <c r="AE46" s="66"/>
    </row>
    <row r="47" spans="2:31" ht="14.25" customHeight="1">
      <c r="B47" s="29"/>
      <c r="C47" s="29"/>
      <c r="D47" s="29"/>
      <c r="E47" s="39"/>
      <c r="F47" s="39"/>
      <c r="G47" s="39"/>
      <c r="H47" s="39"/>
      <c r="I47" s="39"/>
      <c r="J47" s="39"/>
      <c r="K47" s="39"/>
      <c r="L47" s="39"/>
      <c r="M47" s="39"/>
      <c r="N47" s="39"/>
      <c r="O47" s="39"/>
      <c r="P47" s="39"/>
      <c r="Q47" s="39"/>
      <c r="R47" s="39"/>
      <c r="S47" s="39"/>
      <c r="T47" s="39"/>
      <c r="U47" s="39"/>
      <c r="V47" s="39"/>
      <c r="W47" s="39"/>
      <c r="X47" s="162"/>
      <c r="Y47" s="121"/>
      <c r="Z47" s="121"/>
      <c r="AA47" s="121"/>
      <c r="AB47" s="121"/>
      <c r="AC47" s="121"/>
      <c r="AD47" s="121"/>
      <c r="AE47" s="66"/>
    </row>
    <row r="48" spans="2:31" ht="14.25" customHeight="1">
      <c r="B48" s="29"/>
      <c r="C48" s="29"/>
      <c r="D48" s="29"/>
      <c r="E48" s="356" t="s">
        <v>63</v>
      </c>
      <c r="F48" s="356"/>
      <c r="G48" s="356"/>
      <c r="H48" s="356"/>
      <c r="I48" s="356"/>
      <c r="J48" s="356"/>
      <c r="K48" s="356"/>
      <c r="L48" s="356"/>
      <c r="M48" s="356"/>
      <c r="N48" s="356"/>
      <c r="O48" s="356"/>
      <c r="P48" s="356"/>
      <c r="Q48" s="356"/>
      <c r="R48" s="356"/>
      <c r="S48" s="356"/>
      <c r="T48" s="356"/>
      <c r="U48" s="356"/>
      <c r="V48" s="356"/>
      <c r="W48" s="356"/>
      <c r="X48" s="162"/>
      <c r="Y48" s="311">
        <v>4544</v>
      </c>
      <c r="Z48" s="311">
        <v>1124</v>
      </c>
      <c r="AA48" s="311">
        <v>3420</v>
      </c>
      <c r="AB48" s="311">
        <v>4344</v>
      </c>
      <c r="AC48" s="311">
        <v>1064</v>
      </c>
      <c r="AD48" s="311">
        <v>3280</v>
      </c>
      <c r="AE48" s="66"/>
    </row>
    <row r="49" spans="2:31" ht="14.25" customHeight="1">
      <c r="B49" s="29"/>
      <c r="C49" s="29"/>
      <c r="D49" s="29"/>
      <c r="E49" s="39"/>
      <c r="F49" s="39"/>
      <c r="G49" s="39"/>
      <c r="H49" s="39"/>
      <c r="I49" s="39"/>
      <c r="J49" s="39"/>
      <c r="K49" s="39"/>
      <c r="L49" s="39"/>
      <c r="M49" s="39"/>
      <c r="N49" s="39"/>
      <c r="O49" s="39"/>
      <c r="P49" s="39"/>
      <c r="Q49" s="39"/>
      <c r="R49" s="39"/>
      <c r="S49" s="39"/>
      <c r="T49" s="39"/>
      <c r="U49" s="39"/>
      <c r="V49" s="39"/>
      <c r="W49" s="39"/>
      <c r="X49" s="162"/>
      <c r="Y49" s="121"/>
      <c r="Z49" s="121"/>
      <c r="AA49" s="121"/>
      <c r="AB49" s="121"/>
      <c r="AC49" s="121"/>
      <c r="AD49" s="121"/>
      <c r="AE49" s="66"/>
    </row>
    <row r="50" spans="2:31" ht="14.25" customHeight="1">
      <c r="B50" s="29"/>
      <c r="C50" s="538" t="s">
        <v>561</v>
      </c>
      <c r="D50" s="538"/>
      <c r="E50" s="444" t="s">
        <v>64</v>
      </c>
      <c r="F50" s="444"/>
      <c r="G50" s="444"/>
      <c r="H50" s="444"/>
      <c r="I50" s="444"/>
      <c r="J50" s="444"/>
      <c r="K50" s="444"/>
      <c r="L50" s="444"/>
      <c r="M50" s="444"/>
      <c r="N50" s="444"/>
      <c r="O50" s="444"/>
      <c r="P50" s="444"/>
      <c r="Q50" s="444"/>
      <c r="R50" s="444"/>
      <c r="S50" s="444"/>
      <c r="T50" s="444"/>
      <c r="U50" s="444"/>
      <c r="V50" s="444"/>
      <c r="W50" s="444"/>
      <c r="X50" s="161"/>
      <c r="Y50" s="312">
        <v>4411</v>
      </c>
      <c r="Z50" s="312">
        <v>4138</v>
      </c>
      <c r="AA50" s="312">
        <v>273</v>
      </c>
      <c r="AB50" s="312">
        <v>4351</v>
      </c>
      <c r="AC50" s="312">
        <v>4078</v>
      </c>
      <c r="AD50" s="312">
        <v>273</v>
      </c>
      <c r="AE50" s="66"/>
    </row>
    <row r="51" spans="2:31" ht="14.25" customHeight="1">
      <c r="B51" s="29"/>
      <c r="C51" s="29"/>
      <c r="D51" s="29"/>
      <c r="E51" s="356" t="s">
        <v>64</v>
      </c>
      <c r="F51" s="356"/>
      <c r="G51" s="356"/>
      <c r="H51" s="356"/>
      <c r="I51" s="356"/>
      <c r="J51" s="356"/>
      <c r="K51" s="356"/>
      <c r="L51" s="356"/>
      <c r="M51" s="356"/>
      <c r="N51" s="356"/>
      <c r="O51" s="356"/>
      <c r="P51" s="356"/>
      <c r="Q51" s="356"/>
      <c r="R51" s="356"/>
      <c r="S51" s="356"/>
      <c r="T51" s="356"/>
      <c r="U51" s="356"/>
      <c r="V51" s="356"/>
      <c r="W51" s="356"/>
      <c r="X51" s="162"/>
      <c r="Y51" s="311">
        <v>4411</v>
      </c>
      <c r="Z51" s="311">
        <v>4138</v>
      </c>
      <c r="AA51" s="311">
        <v>273</v>
      </c>
      <c r="AB51" s="311">
        <v>4351</v>
      </c>
      <c r="AC51" s="311">
        <v>4078</v>
      </c>
      <c r="AD51" s="311">
        <v>273</v>
      </c>
      <c r="AE51" s="66"/>
    </row>
    <row r="52" spans="2:31" ht="14.25" customHeight="1">
      <c r="B52" s="29"/>
      <c r="C52" s="29"/>
      <c r="D52" s="29"/>
      <c r="E52" s="29"/>
      <c r="F52" s="29"/>
      <c r="G52" s="29"/>
      <c r="H52" s="29"/>
      <c r="I52" s="29"/>
      <c r="J52" s="29"/>
      <c r="K52" s="29"/>
      <c r="L52" s="29"/>
      <c r="M52" s="29"/>
      <c r="N52" s="29"/>
      <c r="O52" s="29"/>
      <c r="P52" s="29"/>
      <c r="Q52" s="29"/>
      <c r="R52" s="29"/>
      <c r="S52" s="29"/>
      <c r="T52" s="29"/>
      <c r="U52" s="29"/>
      <c r="V52" s="29"/>
      <c r="W52" s="29"/>
      <c r="X52" s="149"/>
      <c r="Y52" s="121"/>
      <c r="Z52" s="121"/>
      <c r="AA52" s="121"/>
      <c r="AB52" s="121"/>
      <c r="AC52" s="121"/>
      <c r="AD52" s="121"/>
      <c r="AE52" s="66"/>
    </row>
    <row r="53" spans="2:31" ht="14.25" customHeight="1">
      <c r="B53" s="29"/>
      <c r="C53" s="538" t="s">
        <v>562</v>
      </c>
      <c r="D53" s="538"/>
      <c r="E53" s="444" t="s">
        <v>65</v>
      </c>
      <c r="F53" s="444"/>
      <c r="G53" s="444"/>
      <c r="H53" s="444"/>
      <c r="I53" s="444"/>
      <c r="J53" s="444"/>
      <c r="K53" s="444"/>
      <c r="L53" s="444"/>
      <c r="M53" s="444"/>
      <c r="N53" s="444"/>
      <c r="O53" s="444"/>
      <c r="P53" s="444"/>
      <c r="Q53" s="444"/>
      <c r="R53" s="444"/>
      <c r="S53" s="444"/>
      <c r="T53" s="444"/>
      <c r="U53" s="444"/>
      <c r="V53" s="444"/>
      <c r="W53" s="444"/>
      <c r="X53" s="161"/>
      <c r="Y53" s="312">
        <v>1520</v>
      </c>
      <c r="Z53" s="312">
        <v>960</v>
      </c>
      <c r="AA53" s="312">
        <v>560</v>
      </c>
      <c r="AB53" s="312">
        <v>260</v>
      </c>
      <c r="AC53" s="312">
        <v>200</v>
      </c>
      <c r="AD53" s="312">
        <v>60</v>
      </c>
      <c r="AE53" s="51"/>
    </row>
    <row r="54" spans="2:31" ht="14.25" customHeight="1">
      <c r="B54" s="29"/>
      <c r="C54" s="29"/>
      <c r="D54" s="29"/>
      <c r="E54" s="356" t="s">
        <v>66</v>
      </c>
      <c r="F54" s="356"/>
      <c r="G54" s="356"/>
      <c r="H54" s="356"/>
      <c r="I54" s="356"/>
      <c r="J54" s="356"/>
      <c r="K54" s="356"/>
      <c r="L54" s="356"/>
      <c r="M54" s="356"/>
      <c r="N54" s="356"/>
      <c r="O54" s="356"/>
      <c r="P54" s="356"/>
      <c r="Q54" s="356"/>
      <c r="R54" s="356"/>
      <c r="S54" s="356"/>
      <c r="T54" s="356"/>
      <c r="U54" s="356"/>
      <c r="V54" s="356"/>
      <c r="W54" s="356"/>
      <c r="X54" s="162"/>
      <c r="Y54" s="311">
        <v>1520</v>
      </c>
      <c r="Z54" s="311">
        <v>960</v>
      </c>
      <c r="AA54" s="311">
        <v>560</v>
      </c>
      <c r="AB54" s="311">
        <v>260</v>
      </c>
      <c r="AC54" s="311">
        <v>200</v>
      </c>
      <c r="AD54" s="311">
        <v>60</v>
      </c>
      <c r="AE54" s="36"/>
    </row>
    <row r="55" spans="2:31" ht="14.25" customHeight="1">
      <c r="B55" s="29"/>
      <c r="C55" s="29"/>
      <c r="D55" s="29"/>
      <c r="E55" s="356" t="s">
        <v>67</v>
      </c>
      <c r="F55" s="356"/>
      <c r="G55" s="356"/>
      <c r="H55" s="356"/>
      <c r="I55" s="356"/>
      <c r="J55" s="356"/>
      <c r="K55" s="356"/>
      <c r="L55" s="356"/>
      <c r="M55" s="356"/>
      <c r="N55" s="356"/>
      <c r="O55" s="356"/>
      <c r="P55" s="356"/>
      <c r="Q55" s="356"/>
      <c r="R55" s="356"/>
      <c r="S55" s="356"/>
      <c r="T55" s="356"/>
      <c r="U55" s="356"/>
      <c r="V55" s="356"/>
      <c r="W55" s="356"/>
      <c r="X55" s="162"/>
      <c r="Y55" s="329">
        <v>0</v>
      </c>
      <c r="Z55" s="329">
        <v>0</v>
      </c>
      <c r="AA55" s="329">
        <v>0</v>
      </c>
      <c r="AB55" s="329">
        <v>0</v>
      </c>
      <c r="AC55" s="329">
        <v>0</v>
      </c>
      <c r="AD55" s="329">
        <v>0</v>
      </c>
      <c r="AE55" s="36"/>
    </row>
    <row r="56" spans="2:31" ht="14.25" customHeight="1">
      <c r="B56" s="29"/>
      <c r="C56" s="29"/>
      <c r="D56" s="29"/>
      <c r="E56" s="356" t="s">
        <v>68</v>
      </c>
      <c r="F56" s="356"/>
      <c r="G56" s="356"/>
      <c r="H56" s="356"/>
      <c r="I56" s="356"/>
      <c r="J56" s="356"/>
      <c r="K56" s="356"/>
      <c r="L56" s="356"/>
      <c r="M56" s="356"/>
      <c r="N56" s="356"/>
      <c r="O56" s="356"/>
      <c r="P56" s="356"/>
      <c r="Q56" s="356"/>
      <c r="R56" s="356"/>
      <c r="S56" s="356"/>
      <c r="T56" s="356"/>
      <c r="U56" s="356"/>
      <c r="V56" s="356"/>
      <c r="W56" s="356"/>
      <c r="X56" s="162"/>
      <c r="Y56" s="329">
        <v>0</v>
      </c>
      <c r="Z56" s="329">
        <v>0</v>
      </c>
      <c r="AA56" s="329">
        <v>0</v>
      </c>
      <c r="AB56" s="329">
        <v>0</v>
      </c>
      <c r="AC56" s="329">
        <v>0</v>
      </c>
      <c r="AD56" s="329">
        <v>0</v>
      </c>
      <c r="AE56" s="36"/>
    </row>
    <row r="57" spans="2:32" ht="14.25" customHeight="1">
      <c r="B57" s="32"/>
      <c r="C57" s="40"/>
      <c r="D57" s="40"/>
      <c r="E57" s="40"/>
      <c r="F57" s="41"/>
      <c r="G57" s="67"/>
      <c r="H57" s="67"/>
      <c r="I57" s="67"/>
      <c r="J57" s="67"/>
      <c r="K57" s="67"/>
      <c r="L57" s="67"/>
      <c r="M57" s="67"/>
      <c r="N57" s="67"/>
      <c r="O57" s="67"/>
      <c r="P57" s="67"/>
      <c r="Q57" s="67"/>
      <c r="R57" s="67"/>
      <c r="S57" s="67"/>
      <c r="T57" s="67"/>
      <c r="U57" s="67"/>
      <c r="V57" s="67"/>
      <c r="W57" s="67"/>
      <c r="X57" s="163"/>
      <c r="Y57" s="67"/>
      <c r="Z57" s="36"/>
      <c r="AA57" s="36"/>
      <c r="AB57" s="36"/>
      <c r="AC57" s="36"/>
      <c r="AD57" s="36"/>
      <c r="AE57" s="36"/>
      <c r="AF57" s="29"/>
    </row>
    <row r="58" spans="3:32" ht="10.5" customHeight="1">
      <c r="C58" s="472" t="s">
        <v>277</v>
      </c>
      <c r="D58" s="472"/>
      <c r="E58" s="25" t="s">
        <v>553</v>
      </c>
      <c r="F58" s="335" t="s">
        <v>552</v>
      </c>
      <c r="G58" s="335"/>
      <c r="H58" s="335"/>
      <c r="I58" s="335"/>
      <c r="J58" s="335"/>
      <c r="K58" s="335"/>
      <c r="L58" s="335"/>
      <c r="M58" s="335"/>
      <c r="N58" s="335"/>
      <c r="O58" s="335"/>
      <c r="P58" s="335"/>
      <c r="Q58" s="335"/>
      <c r="R58" s="335"/>
      <c r="S58" s="335"/>
      <c r="T58" s="335"/>
      <c r="U58" s="34"/>
      <c r="V58" s="34"/>
      <c r="W58" s="34"/>
      <c r="X58" s="34"/>
      <c r="Y58" s="34"/>
      <c r="Z58" s="34"/>
      <c r="AA58" s="34"/>
      <c r="AB58" s="34"/>
      <c r="AC58" s="34"/>
      <c r="AD58" s="34"/>
      <c r="AE58" s="34"/>
      <c r="AF58" s="51"/>
    </row>
    <row r="59" spans="2:32" ht="10.5" customHeight="1">
      <c r="B59" s="367" t="s">
        <v>192</v>
      </c>
      <c r="C59" s="367"/>
      <c r="D59" s="367"/>
      <c r="E59" s="25" t="s">
        <v>554</v>
      </c>
      <c r="F59" s="216" t="s">
        <v>484</v>
      </c>
      <c r="O59" s="36"/>
      <c r="P59" s="36"/>
      <c r="Q59" s="36"/>
      <c r="R59" s="36"/>
      <c r="S59" s="36"/>
      <c r="T59" s="36"/>
      <c r="U59" s="36"/>
      <c r="V59" s="36"/>
      <c r="W59" s="51"/>
      <c r="X59" s="51"/>
      <c r="Y59" s="51"/>
      <c r="Z59" s="51"/>
      <c r="AA59" s="51"/>
      <c r="AB59" s="51"/>
      <c r="AC59" s="51"/>
      <c r="AD59" s="51"/>
      <c r="AE59" s="51"/>
      <c r="AF59" s="51"/>
    </row>
    <row r="60" spans="2:30" ht="10.5" customHeight="1">
      <c r="B60" s="356"/>
      <c r="C60" s="356"/>
      <c r="D60" s="356"/>
      <c r="E60" s="25"/>
      <c r="F60" s="217"/>
      <c r="O60" s="36"/>
      <c r="P60" s="36"/>
      <c r="Q60" s="36"/>
      <c r="R60" s="36"/>
      <c r="S60" s="36"/>
      <c r="T60" s="36"/>
      <c r="U60" s="36"/>
      <c r="V60" s="36"/>
      <c r="W60" s="36"/>
      <c r="X60" s="36"/>
      <c r="Y60" s="36"/>
      <c r="Z60" s="36"/>
      <c r="AA60" s="36"/>
      <c r="AB60" s="36"/>
      <c r="AC60" s="36"/>
      <c r="AD60" s="36"/>
    </row>
  </sheetData>
  <sheetProtection/>
  <mergeCells count="53">
    <mergeCell ref="C41:D41"/>
    <mergeCell ref="E41:W41"/>
    <mergeCell ref="E42:W42"/>
    <mergeCell ref="E44:W44"/>
    <mergeCell ref="E43:W43"/>
    <mergeCell ref="E54:W54"/>
    <mergeCell ref="C50:D50"/>
    <mergeCell ref="E55:W55"/>
    <mergeCell ref="E45:W45"/>
    <mergeCell ref="E48:W48"/>
    <mergeCell ref="B60:D60"/>
    <mergeCell ref="E51:W51"/>
    <mergeCell ref="E46:W46"/>
    <mergeCell ref="C58:D58"/>
    <mergeCell ref="E56:W56"/>
    <mergeCell ref="C53:D53"/>
    <mergeCell ref="E53:W53"/>
    <mergeCell ref="B59:D59"/>
    <mergeCell ref="E50:W50"/>
    <mergeCell ref="E20:W20"/>
    <mergeCell ref="E21:W21"/>
    <mergeCell ref="E23:W23"/>
    <mergeCell ref="E27:W27"/>
    <mergeCell ref="E33:W33"/>
    <mergeCell ref="E34:W34"/>
    <mergeCell ref="E35:W35"/>
    <mergeCell ref="E39:W39"/>
    <mergeCell ref="E38:W38"/>
    <mergeCell ref="C37:D37"/>
    <mergeCell ref="E37:W37"/>
    <mergeCell ref="C31:D31"/>
    <mergeCell ref="E24:W24"/>
    <mergeCell ref="C26:D26"/>
    <mergeCell ref="E26:W26"/>
    <mergeCell ref="E32:W32"/>
    <mergeCell ref="E28:W28"/>
    <mergeCell ref="E29:W29"/>
    <mergeCell ref="E31:W31"/>
    <mergeCell ref="E17:W17"/>
    <mergeCell ref="E18:W18"/>
    <mergeCell ref="E19:W19"/>
    <mergeCell ref="V3:AD3"/>
    <mergeCell ref="AB5:AD5"/>
    <mergeCell ref="Y5:AA5"/>
    <mergeCell ref="E12:W12"/>
    <mergeCell ref="E13:W13"/>
    <mergeCell ref="E14:W14"/>
    <mergeCell ref="E15:W15"/>
    <mergeCell ref="C10:D10"/>
    <mergeCell ref="E10:W10"/>
    <mergeCell ref="E11:W11"/>
    <mergeCell ref="B5:X6"/>
    <mergeCell ref="C8:W8"/>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AE55"/>
  <sheetViews>
    <sheetView zoomScalePageLayoutView="0" workbookViewId="0" topLeftCell="A1">
      <selection activeCell="B3" sqref="B3:AD3"/>
    </sheetView>
  </sheetViews>
  <sheetFormatPr defaultColWidth="9.00390625" defaultRowHeight="13.5"/>
  <cols>
    <col min="1" max="24" width="1.625" style="27" customWidth="1"/>
    <col min="25" max="30" width="10.125" style="27" customWidth="1"/>
    <col min="31" max="31" width="1.625" style="27" customWidth="1"/>
    <col min="32" max="16384" width="9.00390625" style="27" customWidth="1"/>
  </cols>
  <sheetData>
    <row r="1" spans="1:31" ht="10.5" customHeight="1">
      <c r="A1" s="36"/>
      <c r="AC1" s="70"/>
      <c r="AD1" s="70"/>
      <c r="AE1" s="330" t="s">
        <v>495</v>
      </c>
    </row>
    <row r="2" ht="10.5" customHeight="1"/>
    <row r="3" spans="1:30" s="38" customFormat="1" ht="18" customHeight="1">
      <c r="A3" s="215"/>
      <c r="B3" s="485" t="s">
        <v>519</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row>
    <row r="4" spans="2:30" ht="12.75" customHeight="1">
      <c r="B4" s="29"/>
      <c r="C4" s="29"/>
      <c r="AC4" s="29"/>
      <c r="AD4" s="1" t="s">
        <v>517</v>
      </c>
    </row>
    <row r="5" spans="2:30" ht="15.75" customHeight="1">
      <c r="B5" s="539" t="s">
        <v>354</v>
      </c>
      <c r="C5" s="539"/>
      <c r="D5" s="539"/>
      <c r="E5" s="539"/>
      <c r="F5" s="539"/>
      <c r="G5" s="539"/>
      <c r="H5" s="539"/>
      <c r="I5" s="539"/>
      <c r="J5" s="539"/>
      <c r="K5" s="539"/>
      <c r="L5" s="539"/>
      <c r="M5" s="539"/>
      <c r="N5" s="539"/>
      <c r="O5" s="539"/>
      <c r="P5" s="539"/>
      <c r="Q5" s="539"/>
      <c r="R5" s="539"/>
      <c r="S5" s="539"/>
      <c r="T5" s="539"/>
      <c r="U5" s="539"/>
      <c r="V5" s="539"/>
      <c r="W5" s="539"/>
      <c r="X5" s="475"/>
      <c r="Y5" s="475" t="s">
        <v>191</v>
      </c>
      <c r="Z5" s="476"/>
      <c r="AA5" s="476"/>
      <c r="AB5" s="476" t="s">
        <v>353</v>
      </c>
      <c r="AC5" s="476"/>
      <c r="AD5" s="477"/>
    </row>
    <row r="6" spans="2:30" ht="15.75" customHeight="1">
      <c r="B6" s="540"/>
      <c r="C6" s="540"/>
      <c r="D6" s="540"/>
      <c r="E6" s="540"/>
      <c r="F6" s="540"/>
      <c r="G6" s="540"/>
      <c r="H6" s="540"/>
      <c r="I6" s="540"/>
      <c r="J6" s="540"/>
      <c r="K6" s="540"/>
      <c r="L6" s="540"/>
      <c r="M6" s="540"/>
      <c r="N6" s="540"/>
      <c r="O6" s="540"/>
      <c r="P6" s="540"/>
      <c r="Q6" s="540"/>
      <c r="R6" s="540"/>
      <c r="S6" s="540"/>
      <c r="T6" s="540"/>
      <c r="U6" s="540"/>
      <c r="V6" s="540"/>
      <c r="W6" s="540"/>
      <c r="X6" s="478"/>
      <c r="Y6" s="144" t="s">
        <v>363</v>
      </c>
      <c r="Z6" s="145" t="s">
        <v>182</v>
      </c>
      <c r="AA6" s="145" t="s">
        <v>183</v>
      </c>
      <c r="AB6" s="145" t="s">
        <v>363</v>
      </c>
      <c r="AC6" s="145" t="s">
        <v>182</v>
      </c>
      <c r="AD6" s="147" t="s">
        <v>183</v>
      </c>
    </row>
    <row r="7" spans="2:30" ht="15" customHeight="1">
      <c r="B7" s="29"/>
      <c r="C7" s="29"/>
      <c r="D7" s="29"/>
      <c r="E7" s="29"/>
      <c r="F7" s="29"/>
      <c r="G7" s="29"/>
      <c r="H7" s="29"/>
      <c r="I7" s="29"/>
      <c r="J7" s="29"/>
      <c r="K7" s="29"/>
      <c r="L7" s="29"/>
      <c r="M7" s="29"/>
      <c r="N7" s="29"/>
      <c r="O7" s="29"/>
      <c r="P7" s="29"/>
      <c r="Q7" s="29"/>
      <c r="R7" s="29"/>
      <c r="S7" s="29"/>
      <c r="T7" s="29"/>
      <c r="U7" s="29"/>
      <c r="V7" s="29"/>
      <c r="W7" s="29"/>
      <c r="X7" s="149"/>
      <c r="Y7" s="164"/>
      <c r="Z7" s="68"/>
      <c r="AA7" s="68"/>
      <c r="AB7" s="68"/>
      <c r="AC7" s="68"/>
      <c r="AD7" s="68"/>
    </row>
    <row r="8" spans="2:30" ht="15" customHeight="1">
      <c r="B8" s="29"/>
      <c r="C8" s="538" t="s">
        <v>563</v>
      </c>
      <c r="D8" s="538"/>
      <c r="E8" s="444" t="s">
        <v>69</v>
      </c>
      <c r="F8" s="444"/>
      <c r="G8" s="444"/>
      <c r="H8" s="444"/>
      <c r="I8" s="444"/>
      <c r="J8" s="444"/>
      <c r="K8" s="444"/>
      <c r="L8" s="444"/>
      <c r="M8" s="444"/>
      <c r="N8" s="444"/>
      <c r="O8" s="444"/>
      <c r="P8" s="444"/>
      <c r="Q8" s="444"/>
      <c r="R8" s="444"/>
      <c r="S8" s="444"/>
      <c r="T8" s="444"/>
      <c r="U8" s="444"/>
      <c r="V8" s="444"/>
      <c r="W8" s="444"/>
      <c r="X8" s="161"/>
      <c r="Y8" s="312">
        <v>8400</v>
      </c>
      <c r="Z8" s="312">
        <v>7920</v>
      </c>
      <c r="AA8" s="312">
        <v>480</v>
      </c>
      <c r="AB8" s="312">
        <v>6440</v>
      </c>
      <c r="AC8" s="312">
        <v>6000</v>
      </c>
      <c r="AD8" s="312">
        <v>440</v>
      </c>
    </row>
    <row r="9" spans="2:30" ht="15" customHeight="1">
      <c r="B9" s="29"/>
      <c r="C9" s="29"/>
      <c r="D9" s="29"/>
      <c r="E9" s="356" t="s">
        <v>70</v>
      </c>
      <c r="F9" s="356"/>
      <c r="G9" s="356"/>
      <c r="H9" s="356"/>
      <c r="I9" s="356"/>
      <c r="J9" s="356"/>
      <c r="K9" s="356"/>
      <c r="L9" s="356"/>
      <c r="M9" s="356"/>
      <c r="N9" s="356"/>
      <c r="O9" s="356"/>
      <c r="P9" s="356"/>
      <c r="Q9" s="356"/>
      <c r="R9" s="356"/>
      <c r="S9" s="356"/>
      <c r="T9" s="356"/>
      <c r="U9" s="356"/>
      <c r="V9" s="356"/>
      <c r="W9" s="356"/>
      <c r="X9" s="162"/>
      <c r="Y9" s="311">
        <v>20</v>
      </c>
      <c r="Z9" s="311">
        <v>20</v>
      </c>
      <c r="AA9" s="329">
        <v>0</v>
      </c>
      <c r="AB9" s="311">
        <v>20</v>
      </c>
      <c r="AC9" s="311">
        <v>20</v>
      </c>
      <c r="AD9" s="329">
        <v>0</v>
      </c>
    </row>
    <row r="10" spans="2:30" ht="15" customHeight="1">
      <c r="B10" s="29"/>
      <c r="C10" s="29"/>
      <c r="D10" s="29"/>
      <c r="E10" s="356" t="s">
        <v>71</v>
      </c>
      <c r="F10" s="356"/>
      <c r="G10" s="356"/>
      <c r="H10" s="356"/>
      <c r="I10" s="356"/>
      <c r="J10" s="356"/>
      <c r="K10" s="356"/>
      <c r="L10" s="356"/>
      <c r="M10" s="356"/>
      <c r="N10" s="356"/>
      <c r="O10" s="356"/>
      <c r="P10" s="356"/>
      <c r="Q10" s="356"/>
      <c r="R10" s="356"/>
      <c r="S10" s="356"/>
      <c r="T10" s="356"/>
      <c r="U10" s="356"/>
      <c r="V10" s="356"/>
      <c r="W10" s="356"/>
      <c r="X10" s="162"/>
      <c r="Y10" s="311">
        <v>7380</v>
      </c>
      <c r="Z10" s="311">
        <v>7160</v>
      </c>
      <c r="AA10" s="311">
        <v>220</v>
      </c>
      <c r="AB10" s="311">
        <v>5440</v>
      </c>
      <c r="AC10" s="311">
        <v>5260</v>
      </c>
      <c r="AD10" s="311">
        <v>180</v>
      </c>
    </row>
    <row r="11" spans="2:30" ht="15" customHeight="1">
      <c r="B11" s="29"/>
      <c r="C11" s="29"/>
      <c r="D11" s="29"/>
      <c r="E11" s="356" t="s">
        <v>72</v>
      </c>
      <c r="F11" s="356"/>
      <c r="G11" s="356"/>
      <c r="H11" s="356"/>
      <c r="I11" s="356"/>
      <c r="J11" s="356"/>
      <c r="K11" s="356"/>
      <c r="L11" s="356"/>
      <c r="M11" s="356"/>
      <c r="N11" s="356"/>
      <c r="O11" s="356"/>
      <c r="P11" s="356"/>
      <c r="Q11" s="356"/>
      <c r="R11" s="356"/>
      <c r="S11" s="356"/>
      <c r="T11" s="356"/>
      <c r="U11" s="356"/>
      <c r="V11" s="356"/>
      <c r="W11" s="356"/>
      <c r="X11" s="162"/>
      <c r="Y11" s="311">
        <v>40</v>
      </c>
      <c r="Z11" s="311">
        <v>40</v>
      </c>
      <c r="AA11" s="329">
        <v>0</v>
      </c>
      <c r="AB11" s="311">
        <v>40</v>
      </c>
      <c r="AC11" s="311">
        <v>40</v>
      </c>
      <c r="AD11" s="329">
        <v>0</v>
      </c>
    </row>
    <row r="12" spans="2:30" ht="15" customHeight="1">
      <c r="B12" s="29"/>
      <c r="C12" s="29"/>
      <c r="D12" s="29"/>
      <c r="E12" s="356" t="s">
        <v>73</v>
      </c>
      <c r="F12" s="356"/>
      <c r="G12" s="356"/>
      <c r="H12" s="356"/>
      <c r="I12" s="356"/>
      <c r="J12" s="356"/>
      <c r="K12" s="356"/>
      <c r="L12" s="356"/>
      <c r="M12" s="356"/>
      <c r="N12" s="356"/>
      <c r="O12" s="356"/>
      <c r="P12" s="356"/>
      <c r="Q12" s="356"/>
      <c r="R12" s="356"/>
      <c r="S12" s="356"/>
      <c r="T12" s="356"/>
      <c r="U12" s="356"/>
      <c r="V12" s="356"/>
      <c r="W12" s="356"/>
      <c r="X12" s="162"/>
      <c r="Y12" s="311">
        <v>200</v>
      </c>
      <c r="Z12" s="311">
        <v>200</v>
      </c>
      <c r="AA12" s="329">
        <v>0</v>
      </c>
      <c r="AB12" s="311">
        <v>200</v>
      </c>
      <c r="AC12" s="311">
        <v>200</v>
      </c>
      <c r="AD12" s="329">
        <v>0</v>
      </c>
    </row>
    <row r="13" spans="2:30" ht="15" customHeight="1">
      <c r="B13" s="29"/>
      <c r="C13" s="29"/>
      <c r="D13" s="29"/>
      <c r="E13" s="356" t="s">
        <v>74</v>
      </c>
      <c r="F13" s="356"/>
      <c r="G13" s="356"/>
      <c r="H13" s="356"/>
      <c r="I13" s="356"/>
      <c r="J13" s="356"/>
      <c r="K13" s="356"/>
      <c r="L13" s="356"/>
      <c r="M13" s="356"/>
      <c r="N13" s="356"/>
      <c r="O13" s="356"/>
      <c r="P13" s="356"/>
      <c r="Q13" s="356"/>
      <c r="R13" s="356"/>
      <c r="S13" s="356"/>
      <c r="T13" s="356"/>
      <c r="U13" s="356"/>
      <c r="V13" s="356"/>
      <c r="W13" s="356"/>
      <c r="X13" s="162"/>
      <c r="Y13" s="311">
        <v>760</v>
      </c>
      <c r="Z13" s="311">
        <v>500</v>
      </c>
      <c r="AA13" s="311">
        <v>260</v>
      </c>
      <c r="AB13" s="311">
        <v>740</v>
      </c>
      <c r="AC13" s="311">
        <v>480</v>
      </c>
      <c r="AD13" s="311">
        <v>260</v>
      </c>
    </row>
    <row r="14" spans="2:30" ht="15" customHeight="1">
      <c r="B14" s="29"/>
      <c r="C14" s="29"/>
      <c r="D14" s="29"/>
      <c r="E14" s="29"/>
      <c r="F14" s="29"/>
      <c r="G14" s="29"/>
      <c r="H14" s="29"/>
      <c r="I14" s="29"/>
      <c r="J14" s="29"/>
      <c r="K14" s="29"/>
      <c r="L14" s="29"/>
      <c r="M14" s="29"/>
      <c r="N14" s="29"/>
      <c r="O14" s="29"/>
      <c r="P14" s="29"/>
      <c r="Q14" s="29"/>
      <c r="R14" s="29"/>
      <c r="S14" s="29"/>
      <c r="T14" s="29"/>
      <c r="U14" s="29"/>
      <c r="V14" s="29"/>
      <c r="W14" s="29"/>
      <c r="X14" s="149"/>
      <c r="Y14" s="121"/>
      <c r="Z14" s="121"/>
      <c r="AA14" s="121"/>
      <c r="AB14" s="121"/>
      <c r="AC14" s="121"/>
      <c r="AD14" s="121"/>
    </row>
    <row r="15" spans="2:30" ht="15" customHeight="1">
      <c r="B15" s="29"/>
      <c r="C15" s="538" t="s">
        <v>564</v>
      </c>
      <c r="D15" s="538"/>
      <c r="E15" s="444" t="s">
        <v>75</v>
      </c>
      <c r="F15" s="444"/>
      <c r="G15" s="444"/>
      <c r="H15" s="444"/>
      <c r="I15" s="444"/>
      <c r="J15" s="444"/>
      <c r="K15" s="444"/>
      <c r="L15" s="444"/>
      <c r="M15" s="444"/>
      <c r="N15" s="444"/>
      <c r="O15" s="444"/>
      <c r="P15" s="444"/>
      <c r="Q15" s="444"/>
      <c r="R15" s="444"/>
      <c r="S15" s="444"/>
      <c r="T15" s="444"/>
      <c r="U15" s="444"/>
      <c r="V15" s="444"/>
      <c r="W15" s="444"/>
      <c r="X15" s="161"/>
      <c r="Y15" s="312">
        <v>46438</v>
      </c>
      <c r="Z15" s="312">
        <v>34471</v>
      </c>
      <c r="AA15" s="312">
        <v>11967</v>
      </c>
      <c r="AB15" s="312">
        <v>36837</v>
      </c>
      <c r="AC15" s="312">
        <v>27013</v>
      </c>
      <c r="AD15" s="312">
        <v>9824</v>
      </c>
    </row>
    <row r="16" spans="2:30" ht="15" customHeight="1">
      <c r="B16" s="29"/>
      <c r="C16" s="29"/>
      <c r="D16" s="29"/>
      <c r="E16" s="29"/>
      <c r="F16" s="39"/>
      <c r="G16" s="39"/>
      <c r="H16" s="39"/>
      <c r="I16" s="39"/>
      <c r="J16" s="39"/>
      <c r="K16" s="39"/>
      <c r="L16" s="39"/>
      <c r="M16" s="39"/>
      <c r="N16" s="39"/>
      <c r="O16" s="39"/>
      <c r="P16" s="39"/>
      <c r="Q16" s="39"/>
      <c r="R16" s="39"/>
      <c r="S16" s="39"/>
      <c r="T16" s="39"/>
      <c r="U16" s="39"/>
      <c r="V16" s="39"/>
      <c r="W16" s="39"/>
      <c r="X16" s="162"/>
      <c r="Y16" s="121"/>
      <c r="Z16" s="121"/>
      <c r="AA16" s="121"/>
      <c r="AB16" s="121"/>
      <c r="AC16" s="121"/>
      <c r="AD16" s="121"/>
    </row>
    <row r="17" spans="2:30" s="30" customFormat="1" ht="15" customHeight="1">
      <c r="B17" s="31"/>
      <c r="C17" s="31"/>
      <c r="D17" s="545" t="s">
        <v>565</v>
      </c>
      <c r="E17" s="545"/>
      <c r="F17" s="545"/>
      <c r="G17" s="545"/>
      <c r="H17" s="444" t="s">
        <v>518</v>
      </c>
      <c r="I17" s="444"/>
      <c r="J17" s="444"/>
      <c r="K17" s="444"/>
      <c r="L17" s="444"/>
      <c r="M17" s="444"/>
      <c r="N17" s="444"/>
      <c r="O17" s="444"/>
      <c r="P17" s="444"/>
      <c r="Q17" s="444"/>
      <c r="R17" s="444"/>
      <c r="S17" s="444"/>
      <c r="T17" s="444"/>
      <c r="U17" s="444"/>
      <c r="V17" s="444"/>
      <c r="W17" s="444"/>
      <c r="X17" s="161"/>
      <c r="Y17" s="312">
        <v>21583</v>
      </c>
      <c r="Z17" s="312">
        <v>14541</v>
      </c>
      <c r="AA17" s="312">
        <v>7042</v>
      </c>
      <c r="AB17" s="312">
        <v>16663</v>
      </c>
      <c r="AC17" s="312">
        <v>11304</v>
      </c>
      <c r="AD17" s="312">
        <v>5359</v>
      </c>
    </row>
    <row r="18" spans="2:30" ht="15" customHeight="1">
      <c r="B18" s="29"/>
      <c r="C18" s="29"/>
      <c r="D18" s="29"/>
      <c r="E18" s="29"/>
      <c r="F18" s="39"/>
      <c r="G18" s="356" t="s">
        <v>76</v>
      </c>
      <c r="H18" s="356"/>
      <c r="I18" s="356"/>
      <c r="J18" s="356"/>
      <c r="K18" s="356"/>
      <c r="L18" s="356"/>
      <c r="M18" s="356"/>
      <c r="N18" s="356"/>
      <c r="O18" s="356"/>
      <c r="P18" s="356"/>
      <c r="Q18" s="356"/>
      <c r="R18" s="356"/>
      <c r="S18" s="356"/>
      <c r="T18" s="356"/>
      <c r="U18" s="356"/>
      <c r="V18" s="356"/>
      <c r="W18" s="356"/>
      <c r="X18" s="162"/>
      <c r="Y18" s="311">
        <v>120</v>
      </c>
      <c r="Z18" s="311">
        <v>100</v>
      </c>
      <c r="AA18" s="311">
        <v>20</v>
      </c>
      <c r="AB18" s="311">
        <v>80</v>
      </c>
      <c r="AC18" s="311">
        <v>80</v>
      </c>
      <c r="AD18" s="329">
        <v>0</v>
      </c>
    </row>
    <row r="19" spans="2:30" ht="15" customHeight="1">
      <c r="B19" s="29"/>
      <c r="C19" s="29"/>
      <c r="D19" s="29"/>
      <c r="E19" s="29"/>
      <c r="F19" s="29"/>
      <c r="G19" s="356" t="s">
        <v>77</v>
      </c>
      <c r="H19" s="356"/>
      <c r="I19" s="356"/>
      <c r="J19" s="356"/>
      <c r="K19" s="356"/>
      <c r="L19" s="356"/>
      <c r="M19" s="356"/>
      <c r="N19" s="356"/>
      <c r="O19" s="356"/>
      <c r="P19" s="356"/>
      <c r="Q19" s="356"/>
      <c r="R19" s="356"/>
      <c r="S19" s="356"/>
      <c r="T19" s="356"/>
      <c r="U19" s="356"/>
      <c r="V19" s="356"/>
      <c r="W19" s="356"/>
      <c r="X19" s="162"/>
      <c r="Y19" s="311">
        <v>580</v>
      </c>
      <c r="Z19" s="311">
        <v>380</v>
      </c>
      <c r="AA19" s="311">
        <v>200</v>
      </c>
      <c r="AB19" s="311">
        <v>560</v>
      </c>
      <c r="AC19" s="311">
        <v>360</v>
      </c>
      <c r="AD19" s="311">
        <v>200</v>
      </c>
    </row>
    <row r="20" spans="2:30" ht="15" customHeight="1">
      <c r="B20" s="29"/>
      <c r="C20" s="29"/>
      <c r="D20" s="29"/>
      <c r="E20" s="29"/>
      <c r="F20" s="29"/>
      <c r="G20" s="356" t="s">
        <v>78</v>
      </c>
      <c r="H20" s="356"/>
      <c r="I20" s="356"/>
      <c r="J20" s="356"/>
      <c r="K20" s="356"/>
      <c r="L20" s="356"/>
      <c r="M20" s="356"/>
      <c r="N20" s="356"/>
      <c r="O20" s="356"/>
      <c r="P20" s="356"/>
      <c r="Q20" s="356"/>
      <c r="R20" s="356"/>
      <c r="S20" s="356"/>
      <c r="T20" s="356"/>
      <c r="U20" s="356"/>
      <c r="V20" s="356"/>
      <c r="W20" s="356"/>
      <c r="X20" s="162"/>
      <c r="Y20" s="311">
        <v>118</v>
      </c>
      <c r="Z20" s="311">
        <v>116</v>
      </c>
      <c r="AA20" s="311">
        <v>2</v>
      </c>
      <c r="AB20" s="311">
        <v>60</v>
      </c>
      <c r="AC20" s="311">
        <v>60</v>
      </c>
      <c r="AD20" s="329">
        <v>0</v>
      </c>
    </row>
    <row r="21" spans="2:30" ht="15" customHeight="1">
      <c r="B21" s="29"/>
      <c r="C21" s="29"/>
      <c r="D21" s="29"/>
      <c r="E21" s="29"/>
      <c r="F21" s="29"/>
      <c r="G21" s="356" t="s">
        <v>79</v>
      </c>
      <c r="H21" s="356"/>
      <c r="I21" s="356"/>
      <c r="J21" s="356"/>
      <c r="K21" s="356"/>
      <c r="L21" s="356"/>
      <c r="M21" s="356"/>
      <c r="N21" s="356"/>
      <c r="O21" s="356"/>
      <c r="P21" s="356"/>
      <c r="Q21" s="356"/>
      <c r="R21" s="356"/>
      <c r="S21" s="356"/>
      <c r="T21" s="356"/>
      <c r="U21" s="356"/>
      <c r="V21" s="356"/>
      <c r="W21" s="356"/>
      <c r="X21" s="162"/>
      <c r="Y21" s="311">
        <v>1256</v>
      </c>
      <c r="Z21" s="311">
        <v>1160</v>
      </c>
      <c r="AA21" s="311">
        <v>96</v>
      </c>
      <c r="AB21" s="311">
        <v>976</v>
      </c>
      <c r="AC21" s="311">
        <v>900</v>
      </c>
      <c r="AD21" s="311">
        <v>76</v>
      </c>
    </row>
    <row r="22" spans="2:30" ht="15" customHeight="1">
      <c r="B22" s="29"/>
      <c r="C22" s="29"/>
      <c r="D22" s="29"/>
      <c r="E22" s="29"/>
      <c r="F22" s="39"/>
      <c r="G22" s="356" t="s">
        <v>80</v>
      </c>
      <c r="H22" s="356"/>
      <c r="I22" s="356"/>
      <c r="J22" s="356"/>
      <c r="K22" s="356"/>
      <c r="L22" s="356"/>
      <c r="M22" s="356"/>
      <c r="N22" s="356"/>
      <c r="O22" s="356"/>
      <c r="P22" s="356"/>
      <c r="Q22" s="356"/>
      <c r="R22" s="356"/>
      <c r="S22" s="356"/>
      <c r="T22" s="356"/>
      <c r="U22" s="356"/>
      <c r="V22" s="356"/>
      <c r="W22" s="356"/>
      <c r="X22" s="162"/>
      <c r="Y22" s="311">
        <v>1240</v>
      </c>
      <c r="Z22" s="311">
        <v>1180</v>
      </c>
      <c r="AA22" s="311">
        <v>60</v>
      </c>
      <c r="AB22" s="311">
        <v>1100</v>
      </c>
      <c r="AC22" s="311">
        <v>1040</v>
      </c>
      <c r="AD22" s="311">
        <v>60</v>
      </c>
    </row>
    <row r="23" spans="2:30" ht="15" customHeight="1">
      <c r="B23" s="29"/>
      <c r="C23" s="29"/>
      <c r="D23" s="29"/>
      <c r="E23" s="29"/>
      <c r="F23" s="39"/>
      <c r="G23" s="39"/>
      <c r="H23" s="39"/>
      <c r="I23" s="39"/>
      <c r="J23" s="39"/>
      <c r="K23" s="39"/>
      <c r="L23" s="39"/>
      <c r="M23" s="39"/>
      <c r="N23" s="39"/>
      <c r="O23" s="39"/>
      <c r="P23" s="39"/>
      <c r="Q23" s="39"/>
      <c r="R23" s="39"/>
      <c r="S23" s="39"/>
      <c r="T23" s="39"/>
      <c r="U23" s="39"/>
      <c r="V23" s="39"/>
      <c r="W23" s="39"/>
      <c r="X23" s="162"/>
      <c r="Y23" s="121"/>
      <c r="Z23" s="121"/>
      <c r="AA23" s="121"/>
      <c r="AB23" s="121"/>
      <c r="AC23" s="121"/>
      <c r="AD23" s="121"/>
    </row>
    <row r="24" spans="2:30" ht="15" customHeight="1">
      <c r="B24" s="29"/>
      <c r="C24" s="29"/>
      <c r="D24" s="29"/>
      <c r="E24" s="29"/>
      <c r="F24" s="29"/>
      <c r="G24" s="356" t="s">
        <v>81</v>
      </c>
      <c r="H24" s="356"/>
      <c r="I24" s="356"/>
      <c r="J24" s="356"/>
      <c r="K24" s="356"/>
      <c r="L24" s="356"/>
      <c r="M24" s="356"/>
      <c r="N24" s="356"/>
      <c r="O24" s="356"/>
      <c r="P24" s="356"/>
      <c r="Q24" s="356"/>
      <c r="R24" s="356"/>
      <c r="S24" s="356"/>
      <c r="T24" s="356"/>
      <c r="U24" s="356"/>
      <c r="V24" s="356"/>
      <c r="W24" s="356"/>
      <c r="X24" s="162"/>
      <c r="Y24" s="311">
        <v>1701</v>
      </c>
      <c r="Z24" s="311">
        <v>1461</v>
      </c>
      <c r="AA24" s="311">
        <v>240</v>
      </c>
      <c r="AB24" s="311">
        <v>1500</v>
      </c>
      <c r="AC24" s="311">
        <v>1280</v>
      </c>
      <c r="AD24" s="311">
        <v>220</v>
      </c>
    </row>
    <row r="25" spans="2:30" ht="15" customHeight="1">
      <c r="B25" s="29"/>
      <c r="C25" s="29"/>
      <c r="D25" s="29"/>
      <c r="E25" s="29"/>
      <c r="F25" s="39"/>
      <c r="G25" s="356" t="s">
        <v>82</v>
      </c>
      <c r="H25" s="356"/>
      <c r="I25" s="356"/>
      <c r="J25" s="356"/>
      <c r="K25" s="356"/>
      <c r="L25" s="356"/>
      <c r="M25" s="356"/>
      <c r="N25" s="356"/>
      <c r="O25" s="356"/>
      <c r="P25" s="356"/>
      <c r="Q25" s="356"/>
      <c r="R25" s="356"/>
      <c r="S25" s="356"/>
      <c r="T25" s="356"/>
      <c r="U25" s="356"/>
      <c r="V25" s="356"/>
      <c r="W25" s="356"/>
      <c r="X25" s="162"/>
      <c r="Y25" s="311">
        <v>1140</v>
      </c>
      <c r="Z25" s="311">
        <v>1140</v>
      </c>
      <c r="AA25" s="329">
        <v>0</v>
      </c>
      <c r="AB25" s="311">
        <v>980</v>
      </c>
      <c r="AC25" s="311">
        <v>980</v>
      </c>
      <c r="AD25" s="329">
        <v>0</v>
      </c>
    </row>
    <row r="26" spans="2:30" ht="15" customHeight="1">
      <c r="B26" s="29"/>
      <c r="C26" s="29"/>
      <c r="D26" s="29"/>
      <c r="E26" s="29"/>
      <c r="F26" s="29"/>
      <c r="G26" s="457" t="s">
        <v>83</v>
      </c>
      <c r="H26" s="543"/>
      <c r="I26" s="543"/>
      <c r="J26" s="543"/>
      <c r="K26" s="543"/>
      <c r="L26" s="543"/>
      <c r="M26" s="543"/>
      <c r="N26" s="543"/>
      <c r="O26" s="543"/>
      <c r="P26" s="543"/>
      <c r="Q26" s="543"/>
      <c r="R26" s="543"/>
      <c r="S26" s="543"/>
      <c r="T26" s="543"/>
      <c r="U26" s="543"/>
      <c r="V26" s="543"/>
      <c r="W26" s="543"/>
      <c r="X26" s="165"/>
      <c r="Y26" s="311">
        <v>160</v>
      </c>
      <c r="Z26" s="311">
        <v>140</v>
      </c>
      <c r="AA26" s="311">
        <v>20</v>
      </c>
      <c r="AB26" s="311">
        <v>140</v>
      </c>
      <c r="AC26" s="311">
        <v>120</v>
      </c>
      <c r="AD26" s="311">
        <v>20</v>
      </c>
    </row>
    <row r="27" spans="2:30" ht="15" customHeight="1">
      <c r="B27" s="29"/>
      <c r="C27" s="29"/>
      <c r="D27" s="29"/>
      <c r="E27" s="29"/>
      <c r="F27" s="29"/>
      <c r="G27" s="457" t="s">
        <v>84</v>
      </c>
      <c r="H27" s="543"/>
      <c r="I27" s="543"/>
      <c r="J27" s="543"/>
      <c r="K27" s="543"/>
      <c r="L27" s="543"/>
      <c r="M27" s="543"/>
      <c r="N27" s="543"/>
      <c r="O27" s="543"/>
      <c r="P27" s="543"/>
      <c r="Q27" s="543"/>
      <c r="R27" s="543"/>
      <c r="S27" s="543"/>
      <c r="T27" s="543"/>
      <c r="U27" s="543"/>
      <c r="V27" s="543"/>
      <c r="W27" s="543"/>
      <c r="X27" s="165"/>
      <c r="Y27" s="121"/>
      <c r="Z27" s="121"/>
      <c r="AA27" s="121"/>
      <c r="AB27" s="121"/>
      <c r="AC27" s="121"/>
      <c r="AD27" s="121"/>
    </row>
    <row r="28" spans="2:30" ht="15" customHeight="1">
      <c r="B28" s="29"/>
      <c r="C28" s="29"/>
      <c r="D28" s="29"/>
      <c r="E28" s="29"/>
      <c r="F28" s="29"/>
      <c r="G28" s="356" t="s">
        <v>85</v>
      </c>
      <c r="H28" s="356"/>
      <c r="I28" s="356"/>
      <c r="J28" s="356"/>
      <c r="K28" s="356"/>
      <c r="L28" s="356"/>
      <c r="M28" s="356"/>
      <c r="N28" s="356"/>
      <c r="O28" s="356"/>
      <c r="P28" s="356"/>
      <c r="Q28" s="356"/>
      <c r="R28" s="356"/>
      <c r="S28" s="356"/>
      <c r="T28" s="356"/>
      <c r="U28" s="356"/>
      <c r="V28" s="356"/>
      <c r="W28" s="356"/>
      <c r="X28" s="162"/>
      <c r="Y28" s="311">
        <v>3065</v>
      </c>
      <c r="Z28" s="311">
        <v>1144</v>
      </c>
      <c r="AA28" s="311">
        <v>1921</v>
      </c>
      <c r="AB28" s="311">
        <v>2585</v>
      </c>
      <c r="AC28" s="311">
        <v>884</v>
      </c>
      <c r="AD28" s="311">
        <v>1701</v>
      </c>
    </row>
    <row r="29" spans="2:30" ht="15" customHeight="1">
      <c r="B29" s="29"/>
      <c r="C29" s="29"/>
      <c r="D29" s="29"/>
      <c r="E29" s="29"/>
      <c r="F29" s="29"/>
      <c r="G29" s="39"/>
      <c r="H29" s="39"/>
      <c r="I29" s="39"/>
      <c r="J29" s="39"/>
      <c r="K29" s="39"/>
      <c r="L29" s="39"/>
      <c r="M29" s="39"/>
      <c r="N29" s="39"/>
      <c r="O29" s="39"/>
      <c r="P29" s="39"/>
      <c r="Q29" s="39"/>
      <c r="R29" s="39"/>
      <c r="S29" s="39"/>
      <c r="T29" s="39"/>
      <c r="U29" s="39"/>
      <c r="V29" s="39"/>
      <c r="W29" s="39"/>
      <c r="X29" s="162"/>
      <c r="Y29" s="121"/>
      <c r="Z29" s="121"/>
      <c r="AA29" s="121"/>
      <c r="AB29" s="121"/>
      <c r="AC29" s="121"/>
      <c r="AD29" s="121"/>
    </row>
    <row r="30" spans="2:30" ht="15" customHeight="1">
      <c r="B30" s="29"/>
      <c r="C30" s="29"/>
      <c r="D30" s="29"/>
      <c r="E30" s="29"/>
      <c r="F30" s="29"/>
      <c r="G30" s="356" t="s">
        <v>86</v>
      </c>
      <c r="H30" s="356"/>
      <c r="I30" s="356"/>
      <c r="J30" s="356"/>
      <c r="K30" s="356"/>
      <c r="L30" s="356"/>
      <c r="M30" s="356"/>
      <c r="N30" s="356"/>
      <c r="O30" s="356"/>
      <c r="P30" s="356"/>
      <c r="Q30" s="356"/>
      <c r="R30" s="356"/>
      <c r="S30" s="356"/>
      <c r="T30" s="356"/>
      <c r="U30" s="356"/>
      <c r="V30" s="356"/>
      <c r="W30" s="356"/>
      <c r="X30" s="162"/>
      <c r="Y30" s="329">
        <v>0</v>
      </c>
      <c r="Z30" s="329">
        <v>0</v>
      </c>
      <c r="AA30" s="329">
        <v>0</v>
      </c>
      <c r="AB30" s="329">
        <v>0</v>
      </c>
      <c r="AC30" s="329">
        <v>0</v>
      </c>
      <c r="AD30" s="329">
        <v>0</v>
      </c>
    </row>
    <row r="31" spans="2:30" ht="15" customHeight="1">
      <c r="B31" s="29"/>
      <c r="C31" s="29"/>
      <c r="D31" s="29"/>
      <c r="E31" s="29"/>
      <c r="F31" s="29"/>
      <c r="G31" s="356" t="s">
        <v>87</v>
      </c>
      <c r="H31" s="356"/>
      <c r="I31" s="356"/>
      <c r="J31" s="356"/>
      <c r="K31" s="356"/>
      <c r="L31" s="356"/>
      <c r="M31" s="356"/>
      <c r="N31" s="356"/>
      <c r="O31" s="356"/>
      <c r="P31" s="356"/>
      <c r="Q31" s="356"/>
      <c r="R31" s="356"/>
      <c r="S31" s="356"/>
      <c r="T31" s="356"/>
      <c r="U31" s="356"/>
      <c r="V31" s="356"/>
      <c r="W31" s="356"/>
      <c r="X31" s="162"/>
      <c r="Y31" s="311">
        <v>245</v>
      </c>
      <c r="Z31" s="311">
        <v>140</v>
      </c>
      <c r="AA31" s="311">
        <v>105</v>
      </c>
      <c r="AB31" s="311">
        <v>81</v>
      </c>
      <c r="AC31" s="311">
        <v>60</v>
      </c>
      <c r="AD31" s="311">
        <v>21</v>
      </c>
    </row>
    <row r="32" spans="2:30" ht="15" customHeight="1">
      <c r="B32" s="29"/>
      <c r="C32" s="28"/>
      <c r="D32" s="28"/>
      <c r="E32" s="28"/>
      <c r="F32" s="29"/>
      <c r="G32" s="356" t="s">
        <v>88</v>
      </c>
      <c r="H32" s="356"/>
      <c r="I32" s="356"/>
      <c r="J32" s="356"/>
      <c r="K32" s="356"/>
      <c r="L32" s="356"/>
      <c r="M32" s="356"/>
      <c r="N32" s="356"/>
      <c r="O32" s="356"/>
      <c r="P32" s="356"/>
      <c r="Q32" s="356"/>
      <c r="R32" s="356"/>
      <c r="S32" s="356"/>
      <c r="T32" s="356"/>
      <c r="U32" s="356"/>
      <c r="V32" s="356"/>
      <c r="W32" s="356"/>
      <c r="X32" s="162"/>
      <c r="Y32" s="311">
        <v>1380</v>
      </c>
      <c r="Z32" s="311">
        <v>520</v>
      </c>
      <c r="AA32" s="311">
        <v>860</v>
      </c>
      <c r="AB32" s="311">
        <v>520</v>
      </c>
      <c r="AC32" s="311">
        <v>160</v>
      </c>
      <c r="AD32" s="311">
        <v>360</v>
      </c>
    </row>
    <row r="33" spans="2:30" ht="15" customHeight="1">
      <c r="B33" s="29"/>
      <c r="C33" s="29"/>
      <c r="D33" s="29"/>
      <c r="E33" s="29"/>
      <c r="F33" s="29"/>
      <c r="G33" s="356" t="s">
        <v>89</v>
      </c>
      <c r="H33" s="356"/>
      <c r="I33" s="356"/>
      <c r="J33" s="356"/>
      <c r="K33" s="356"/>
      <c r="L33" s="356"/>
      <c r="M33" s="356"/>
      <c r="N33" s="356"/>
      <c r="O33" s="356"/>
      <c r="P33" s="356"/>
      <c r="Q33" s="356"/>
      <c r="R33" s="356"/>
      <c r="S33" s="356"/>
      <c r="T33" s="356"/>
      <c r="U33" s="356"/>
      <c r="V33" s="356"/>
      <c r="W33" s="356"/>
      <c r="X33" s="162"/>
      <c r="Y33" s="311">
        <v>404</v>
      </c>
      <c r="Z33" s="311">
        <v>362</v>
      </c>
      <c r="AA33" s="311">
        <v>42</v>
      </c>
      <c r="AB33" s="311">
        <v>160</v>
      </c>
      <c r="AC33" s="311">
        <v>160</v>
      </c>
      <c r="AD33" s="329">
        <v>0</v>
      </c>
    </row>
    <row r="34" spans="2:30" ht="15" customHeight="1">
      <c r="B34" s="29"/>
      <c r="C34" s="29"/>
      <c r="D34" s="29"/>
      <c r="E34" s="29"/>
      <c r="F34" s="29"/>
      <c r="G34" s="356" t="s">
        <v>90</v>
      </c>
      <c r="H34" s="356"/>
      <c r="I34" s="356"/>
      <c r="J34" s="356"/>
      <c r="K34" s="356"/>
      <c r="L34" s="356"/>
      <c r="M34" s="356"/>
      <c r="N34" s="356"/>
      <c r="O34" s="356"/>
      <c r="P34" s="356"/>
      <c r="Q34" s="356"/>
      <c r="R34" s="356"/>
      <c r="S34" s="356"/>
      <c r="T34" s="356"/>
      <c r="U34" s="356"/>
      <c r="V34" s="356"/>
      <c r="W34" s="356"/>
      <c r="X34" s="162"/>
      <c r="Y34" s="311">
        <v>305</v>
      </c>
      <c r="Z34" s="311">
        <v>163</v>
      </c>
      <c r="AA34" s="311">
        <v>142</v>
      </c>
      <c r="AB34" s="311">
        <v>280</v>
      </c>
      <c r="AC34" s="311">
        <v>160</v>
      </c>
      <c r="AD34" s="311">
        <v>120</v>
      </c>
    </row>
    <row r="35" spans="2:30" ht="15" customHeight="1">
      <c r="B35" s="29"/>
      <c r="C35" s="29"/>
      <c r="D35" s="29"/>
      <c r="E35" s="29"/>
      <c r="F35" s="29"/>
      <c r="G35" s="39"/>
      <c r="H35" s="39"/>
      <c r="I35" s="39"/>
      <c r="J35" s="39"/>
      <c r="K35" s="39"/>
      <c r="L35" s="39"/>
      <c r="M35" s="39"/>
      <c r="N35" s="39"/>
      <c r="O35" s="39"/>
      <c r="P35" s="39"/>
      <c r="Q35" s="39"/>
      <c r="R35" s="39"/>
      <c r="S35" s="39"/>
      <c r="T35" s="39"/>
      <c r="U35" s="39"/>
      <c r="V35" s="39"/>
      <c r="W35" s="39"/>
      <c r="X35" s="162"/>
      <c r="Y35" s="121"/>
      <c r="Z35" s="121"/>
      <c r="AA35" s="121"/>
      <c r="AB35" s="121"/>
      <c r="AC35" s="121"/>
      <c r="AD35" s="121"/>
    </row>
    <row r="36" spans="2:30" ht="15" customHeight="1">
      <c r="B36" s="29"/>
      <c r="C36" s="29"/>
      <c r="D36" s="29"/>
      <c r="E36" s="29"/>
      <c r="F36" s="29"/>
      <c r="G36" s="356" t="s">
        <v>91</v>
      </c>
      <c r="H36" s="356"/>
      <c r="I36" s="356"/>
      <c r="J36" s="356"/>
      <c r="K36" s="356"/>
      <c r="L36" s="356"/>
      <c r="M36" s="356"/>
      <c r="N36" s="356"/>
      <c r="O36" s="356"/>
      <c r="P36" s="356"/>
      <c r="Q36" s="356"/>
      <c r="R36" s="356"/>
      <c r="S36" s="356"/>
      <c r="T36" s="356"/>
      <c r="U36" s="356"/>
      <c r="V36" s="356"/>
      <c r="W36" s="356"/>
      <c r="X36" s="162"/>
      <c r="Y36" s="311">
        <v>2740</v>
      </c>
      <c r="Z36" s="311">
        <v>1960</v>
      </c>
      <c r="AA36" s="311">
        <v>780</v>
      </c>
      <c r="AB36" s="311">
        <v>2500</v>
      </c>
      <c r="AC36" s="311">
        <v>1780</v>
      </c>
      <c r="AD36" s="311">
        <v>720</v>
      </c>
    </row>
    <row r="37" spans="2:30" ht="15" customHeight="1">
      <c r="B37" s="29"/>
      <c r="C37" s="29"/>
      <c r="D37" s="29"/>
      <c r="E37" s="29"/>
      <c r="F37" s="29"/>
      <c r="G37" s="356" t="s">
        <v>92</v>
      </c>
      <c r="H37" s="356"/>
      <c r="I37" s="356"/>
      <c r="J37" s="356"/>
      <c r="K37" s="356"/>
      <c r="L37" s="356"/>
      <c r="M37" s="356"/>
      <c r="N37" s="356"/>
      <c r="O37" s="356"/>
      <c r="P37" s="356"/>
      <c r="Q37" s="356"/>
      <c r="R37" s="356"/>
      <c r="S37" s="356"/>
      <c r="T37" s="356"/>
      <c r="U37" s="356"/>
      <c r="V37" s="356"/>
      <c r="W37" s="356"/>
      <c r="X37" s="162"/>
      <c r="Y37" s="311">
        <v>260</v>
      </c>
      <c r="Z37" s="311">
        <v>200</v>
      </c>
      <c r="AA37" s="311">
        <v>60</v>
      </c>
      <c r="AB37" s="311">
        <v>220</v>
      </c>
      <c r="AC37" s="311">
        <v>180</v>
      </c>
      <c r="AD37" s="311">
        <v>40</v>
      </c>
    </row>
    <row r="38" spans="2:30" ht="15" customHeight="1">
      <c r="B38" s="29"/>
      <c r="C38" s="28"/>
      <c r="D38" s="28"/>
      <c r="E38" s="28"/>
      <c r="F38" s="29"/>
      <c r="G38" s="356" t="s">
        <v>93</v>
      </c>
      <c r="H38" s="356"/>
      <c r="I38" s="356"/>
      <c r="J38" s="356"/>
      <c r="K38" s="356"/>
      <c r="L38" s="356"/>
      <c r="M38" s="356"/>
      <c r="N38" s="356"/>
      <c r="O38" s="356"/>
      <c r="P38" s="356"/>
      <c r="Q38" s="356"/>
      <c r="R38" s="356"/>
      <c r="S38" s="356"/>
      <c r="T38" s="356"/>
      <c r="U38" s="356"/>
      <c r="V38" s="356"/>
      <c r="W38" s="356"/>
      <c r="X38" s="162"/>
      <c r="Y38" s="311">
        <v>40</v>
      </c>
      <c r="Z38" s="311">
        <v>40</v>
      </c>
      <c r="AA38" s="329">
        <v>0</v>
      </c>
      <c r="AB38" s="311">
        <v>20</v>
      </c>
      <c r="AC38" s="311">
        <v>20</v>
      </c>
      <c r="AD38" s="329">
        <v>0</v>
      </c>
    </row>
    <row r="39" spans="2:30" ht="15" customHeight="1">
      <c r="B39" s="29"/>
      <c r="C39" s="29"/>
      <c r="D39" s="29"/>
      <c r="E39" s="29"/>
      <c r="F39" s="29"/>
      <c r="G39" s="356" t="s">
        <v>94</v>
      </c>
      <c r="H39" s="356"/>
      <c r="I39" s="356"/>
      <c r="J39" s="356"/>
      <c r="K39" s="356"/>
      <c r="L39" s="356"/>
      <c r="M39" s="356"/>
      <c r="N39" s="356"/>
      <c r="O39" s="356"/>
      <c r="P39" s="356"/>
      <c r="Q39" s="356"/>
      <c r="R39" s="356"/>
      <c r="S39" s="356"/>
      <c r="T39" s="356"/>
      <c r="U39" s="356"/>
      <c r="V39" s="356"/>
      <c r="W39" s="356"/>
      <c r="X39" s="162"/>
      <c r="Y39" s="311">
        <v>6829</v>
      </c>
      <c r="Z39" s="311">
        <v>4335</v>
      </c>
      <c r="AA39" s="311">
        <v>2494</v>
      </c>
      <c r="AB39" s="311">
        <v>4901</v>
      </c>
      <c r="AC39" s="311">
        <v>3080</v>
      </c>
      <c r="AD39" s="311">
        <v>1821</v>
      </c>
    </row>
    <row r="40" spans="2:30" ht="15" customHeight="1">
      <c r="B40" s="29"/>
      <c r="C40" s="29"/>
      <c r="D40" s="29"/>
      <c r="E40" s="29"/>
      <c r="F40" s="39"/>
      <c r="G40" s="39"/>
      <c r="H40" s="29"/>
      <c r="I40" s="29"/>
      <c r="J40" s="29"/>
      <c r="K40" s="29"/>
      <c r="L40" s="29"/>
      <c r="M40" s="29"/>
      <c r="N40" s="29"/>
      <c r="O40" s="29"/>
      <c r="P40" s="29"/>
      <c r="Q40" s="29"/>
      <c r="R40" s="29"/>
      <c r="S40" s="29"/>
      <c r="T40" s="29"/>
      <c r="U40" s="29"/>
      <c r="V40" s="29"/>
      <c r="W40" s="29"/>
      <c r="X40" s="149"/>
      <c r="Y40" s="121"/>
      <c r="Z40" s="121"/>
      <c r="AA40" s="121"/>
      <c r="AB40" s="121"/>
      <c r="AC40" s="121"/>
      <c r="AD40" s="121"/>
    </row>
    <row r="41" spans="2:30" s="30" customFormat="1" ht="15" customHeight="1">
      <c r="B41" s="31"/>
      <c r="C41" s="31"/>
      <c r="D41" s="545" t="s">
        <v>566</v>
      </c>
      <c r="E41" s="545"/>
      <c r="F41" s="545"/>
      <c r="G41" s="545"/>
      <c r="H41" s="444" t="s">
        <v>567</v>
      </c>
      <c r="I41" s="444"/>
      <c r="J41" s="444"/>
      <c r="K41" s="444"/>
      <c r="L41" s="444"/>
      <c r="M41" s="444"/>
      <c r="N41" s="444"/>
      <c r="O41" s="444"/>
      <c r="P41" s="444"/>
      <c r="Q41" s="444"/>
      <c r="R41" s="444"/>
      <c r="S41" s="444"/>
      <c r="T41" s="444"/>
      <c r="U41" s="444"/>
      <c r="V41" s="444"/>
      <c r="W41" s="444"/>
      <c r="X41" s="161"/>
      <c r="Y41" s="312">
        <v>3200</v>
      </c>
      <c r="Z41" s="312">
        <v>3160</v>
      </c>
      <c r="AA41" s="312">
        <v>40</v>
      </c>
      <c r="AB41" s="312">
        <v>2600</v>
      </c>
      <c r="AC41" s="312">
        <v>2560</v>
      </c>
      <c r="AD41" s="312">
        <v>40</v>
      </c>
    </row>
    <row r="42" spans="2:30" s="30" customFormat="1" ht="15" customHeight="1">
      <c r="B42" s="31"/>
      <c r="C42" s="31"/>
      <c r="D42" s="69"/>
      <c r="E42" s="69"/>
      <c r="F42" s="69"/>
      <c r="G42" s="69"/>
      <c r="H42" s="444" t="s">
        <v>568</v>
      </c>
      <c r="I42" s="444"/>
      <c r="J42" s="444"/>
      <c r="K42" s="444"/>
      <c r="L42" s="444"/>
      <c r="M42" s="444"/>
      <c r="N42" s="444"/>
      <c r="O42" s="444"/>
      <c r="P42" s="444"/>
      <c r="Q42" s="444"/>
      <c r="R42" s="444"/>
      <c r="S42" s="444"/>
      <c r="T42" s="444"/>
      <c r="U42" s="444"/>
      <c r="V42" s="444"/>
      <c r="W42" s="444"/>
      <c r="X42" s="161"/>
      <c r="Y42" s="121"/>
      <c r="Z42" s="121"/>
      <c r="AA42" s="121"/>
      <c r="AB42" s="121"/>
      <c r="AC42" s="121"/>
      <c r="AD42" s="121"/>
    </row>
    <row r="43" spans="2:30" ht="15" customHeight="1">
      <c r="B43" s="29"/>
      <c r="C43" s="29"/>
      <c r="D43" s="29"/>
      <c r="E43" s="29"/>
      <c r="F43" s="29"/>
      <c r="G43" s="457" t="s">
        <v>95</v>
      </c>
      <c r="H43" s="457"/>
      <c r="I43" s="457"/>
      <c r="J43" s="457"/>
      <c r="K43" s="457"/>
      <c r="L43" s="457"/>
      <c r="M43" s="457"/>
      <c r="N43" s="457"/>
      <c r="O43" s="457"/>
      <c r="P43" s="457"/>
      <c r="Q43" s="457"/>
      <c r="R43" s="457"/>
      <c r="S43" s="457"/>
      <c r="T43" s="457"/>
      <c r="U43" s="457"/>
      <c r="V43" s="457"/>
      <c r="W43" s="457"/>
      <c r="X43" s="166"/>
      <c r="Y43" s="311">
        <v>800</v>
      </c>
      <c r="Z43" s="311">
        <v>800</v>
      </c>
      <c r="AA43" s="329">
        <v>0</v>
      </c>
      <c r="AB43" s="311">
        <v>780</v>
      </c>
      <c r="AC43" s="311">
        <v>780</v>
      </c>
      <c r="AD43" s="329">
        <v>0</v>
      </c>
    </row>
    <row r="44" spans="2:30" ht="15" customHeight="1">
      <c r="B44" s="29"/>
      <c r="C44" s="29"/>
      <c r="D44" s="29"/>
      <c r="E44" s="29"/>
      <c r="F44" s="29"/>
      <c r="G44" s="457" t="s">
        <v>96</v>
      </c>
      <c r="H44" s="457"/>
      <c r="I44" s="457"/>
      <c r="J44" s="457"/>
      <c r="K44" s="457"/>
      <c r="L44" s="457"/>
      <c r="M44" s="457"/>
      <c r="N44" s="457"/>
      <c r="O44" s="457"/>
      <c r="P44" s="457"/>
      <c r="Q44" s="457"/>
      <c r="R44" s="457"/>
      <c r="S44" s="457"/>
      <c r="T44" s="457"/>
      <c r="U44" s="457"/>
      <c r="V44" s="457"/>
      <c r="W44" s="457"/>
      <c r="X44" s="166"/>
      <c r="Y44" s="121"/>
      <c r="Z44" s="121"/>
      <c r="AA44" s="121"/>
      <c r="AB44" s="121"/>
      <c r="AC44" s="121"/>
      <c r="AD44" s="121"/>
    </row>
    <row r="45" spans="2:30" ht="15" customHeight="1">
      <c r="B45" s="29"/>
      <c r="C45" s="29"/>
      <c r="D45" s="29"/>
      <c r="E45" s="29"/>
      <c r="F45" s="29"/>
      <c r="G45" s="356" t="s">
        <v>97</v>
      </c>
      <c r="H45" s="356"/>
      <c r="I45" s="356"/>
      <c r="J45" s="356"/>
      <c r="K45" s="356"/>
      <c r="L45" s="356"/>
      <c r="M45" s="356"/>
      <c r="N45" s="356"/>
      <c r="O45" s="356"/>
      <c r="P45" s="356"/>
      <c r="Q45" s="356"/>
      <c r="R45" s="356"/>
      <c r="S45" s="356"/>
      <c r="T45" s="356"/>
      <c r="U45" s="356"/>
      <c r="V45" s="356"/>
      <c r="W45" s="356"/>
      <c r="X45" s="162"/>
      <c r="Y45" s="311">
        <v>2400</v>
      </c>
      <c r="Z45" s="311">
        <v>2360</v>
      </c>
      <c r="AA45" s="311">
        <v>40</v>
      </c>
      <c r="AB45" s="311">
        <v>1820</v>
      </c>
      <c r="AC45" s="311">
        <v>1780</v>
      </c>
      <c r="AD45" s="311">
        <v>40</v>
      </c>
    </row>
    <row r="46" spans="2:30" ht="15" customHeight="1">
      <c r="B46" s="29"/>
      <c r="C46" s="29"/>
      <c r="D46" s="29"/>
      <c r="E46" s="29"/>
      <c r="F46" s="29"/>
      <c r="G46" s="29"/>
      <c r="H46" s="29"/>
      <c r="I46" s="29"/>
      <c r="J46" s="29"/>
      <c r="K46" s="29"/>
      <c r="L46" s="29"/>
      <c r="M46" s="29"/>
      <c r="N46" s="29"/>
      <c r="O46" s="29"/>
      <c r="P46" s="29"/>
      <c r="Q46" s="29"/>
      <c r="R46" s="29"/>
      <c r="S46" s="29"/>
      <c r="T46" s="29"/>
      <c r="U46" s="29"/>
      <c r="V46" s="29"/>
      <c r="W46" s="29"/>
      <c r="X46" s="149"/>
      <c r="Y46" s="121"/>
      <c r="Z46" s="121"/>
      <c r="AA46" s="121"/>
      <c r="AB46" s="121"/>
      <c r="AC46" s="121"/>
      <c r="AD46" s="121"/>
    </row>
    <row r="47" spans="2:30" s="30" customFormat="1" ht="15" customHeight="1">
      <c r="B47" s="31"/>
      <c r="C47" s="31"/>
      <c r="D47" s="545" t="s">
        <v>569</v>
      </c>
      <c r="E47" s="545"/>
      <c r="F47" s="545"/>
      <c r="G47" s="545"/>
      <c r="H47" s="444" t="s">
        <v>98</v>
      </c>
      <c r="I47" s="444"/>
      <c r="J47" s="444"/>
      <c r="K47" s="444"/>
      <c r="L47" s="444"/>
      <c r="M47" s="444"/>
      <c r="N47" s="444"/>
      <c r="O47" s="444"/>
      <c r="P47" s="444"/>
      <c r="Q47" s="444"/>
      <c r="R47" s="444"/>
      <c r="S47" s="444"/>
      <c r="T47" s="444"/>
      <c r="U47" s="444"/>
      <c r="V47" s="444"/>
      <c r="W47" s="444"/>
      <c r="X47" s="161"/>
      <c r="Y47" s="312">
        <v>21655</v>
      </c>
      <c r="Z47" s="312">
        <v>16770</v>
      </c>
      <c r="AA47" s="312">
        <v>4885</v>
      </c>
      <c r="AB47" s="312">
        <v>17574</v>
      </c>
      <c r="AC47" s="312">
        <v>13149</v>
      </c>
      <c r="AD47" s="312">
        <v>4425</v>
      </c>
    </row>
    <row r="48" spans="2:30" ht="15" customHeight="1">
      <c r="B48" s="29"/>
      <c r="C48" s="29"/>
      <c r="D48" s="29"/>
      <c r="E48" s="29"/>
      <c r="F48" s="29"/>
      <c r="G48" s="356" t="s">
        <v>99</v>
      </c>
      <c r="H48" s="356"/>
      <c r="I48" s="356"/>
      <c r="J48" s="356"/>
      <c r="K48" s="356"/>
      <c r="L48" s="356"/>
      <c r="M48" s="356"/>
      <c r="N48" s="356"/>
      <c r="O48" s="356"/>
      <c r="P48" s="356"/>
      <c r="Q48" s="356"/>
      <c r="R48" s="356"/>
      <c r="S48" s="356"/>
      <c r="T48" s="356"/>
      <c r="U48" s="356"/>
      <c r="V48" s="356"/>
      <c r="W48" s="356"/>
      <c r="X48" s="162"/>
      <c r="Y48" s="311">
        <v>40</v>
      </c>
      <c r="Z48" s="311">
        <v>40</v>
      </c>
      <c r="AA48" s="329">
        <v>0</v>
      </c>
      <c r="AB48" s="311">
        <v>20</v>
      </c>
      <c r="AC48" s="311">
        <v>20</v>
      </c>
      <c r="AD48" s="329">
        <v>0</v>
      </c>
    </row>
    <row r="49" spans="2:30" ht="15" customHeight="1">
      <c r="B49" s="29"/>
      <c r="C49" s="29"/>
      <c r="D49" s="51"/>
      <c r="E49" s="51"/>
      <c r="F49" s="51"/>
      <c r="G49" s="356" t="s">
        <v>100</v>
      </c>
      <c r="H49" s="356"/>
      <c r="I49" s="356"/>
      <c r="J49" s="356"/>
      <c r="K49" s="356"/>
      <c r="L49" s="356"/>
      <c r="M49" s="356"/>
      <c r="N49" s="356"/>
      <c r="O49" s="356"/>
      <c r="P49" s="356"/>
      <c r="Q49" s="356"/>
      <c r="R49" s="356"/>
      <c r="S49" s="356"/>
      <c r="T49" s="356"/>
      <c r="U49" s="356"/>
      <c r="V49" s="356"/>
      <c r="W49" s="356"/>
      <c r="X49" s="162"/>
      <c r="Y49" s="311">
        <v>9540</v>
      </c>
      <c r="Z49" s="311">
        <v>9360</v>
      </c>
      <c r="AA49" s="311">
        <v>180</v>
      </c>
      <c r="AB49" s="311">
        <v>6700</v>
      </c>
      <c r="AC49" s="311">
        <v>6600</v>
      </c>
      <c r="AD49" s="311">
        <v>100</v>
      </c>
    </row>
    <row r="50" spans="2:30" ht="15" customHeight="1">
      <c r="B50" s="29"/>
      <c r="C50" s="29"/>
      <c r="D50" s="29"/>
      <c r="E50" s="29"/>
      <c r="F50" s="29"/>
      <c r="G50" s="356" t="s">
        <v>101</v>
      </c>
      <c r="H50" s="356"/>
      <c r="I50" s="356"/>
      <c r="J50" s="356"/>
      <c r="K50" s="356"/>
      <c r="L50" s="356"/>
      <c r="M50" s="356"/>
      <c r="N50" s="356"/>
      <c r="O50" s="356"/>
      <c r="P50" s="356"/>
      <c r="Q50" s="356"/>
      <c r="R50" s="356"/>
      <c r="S50" s="356"/>
      <c r="T50" s="356"/>
      <c r="U50" s="356"/>
      <c r="V50" s="356"/>
      <c r="W50" s="356"/>
      <c r="X50" s="162"/>
      <c r="Y50" s="311">
        <v>4600</v>
      </c>
      <c r="Z50" s="311">
        <v>3520</v>
      </c>
      <c r="AA50" s="311">
        <v>1080</v>
      </c>
      <c r="AB50" s="311">
        <v>3980</v>
      </c>
      <c r="AC50" s="311">
        <v>3120</v>
      </c>
      <c r="AD50" s="311">
        <v>860</v>
      </c>
    </row>
    <row r="51" spans="2:30" ht="15" customHeight="1">
      <c r="B51" s="29"/>
      <c r="C51" s="29"/>
      <c r="D51" s="29"/>
      <c r="E51" s="29"/>
      <c r="F51" s="39"/>
      <c r="G51" s="356" t="s">
        <v>102</v>
      </c>
      <c r="H51" s="356"/>
      <c r="I51" s="356"/>
      <c r="J51" s="356"/>
      <c r="K51" s="356"/>
      <c r="L51" s="356"/>
      <c r="M51" s="356"/>
      <c r="N51" s="356"/>
      <c r="O51" s="356"/>
      <c r="P51" s="356"/>
      <c r="Q51" s="356"/>
      <c r="R51" s="356"/>
      <c r="S51" s="356"/>
      <c r="T51" s="356"/>
      <c r="U51" s="356"/>
      <c r="V51" s="356"/>
      <c r="W51" s="356"/>
      <c r="X51" s="162"/>
      <c r="Y51" s="311">
        <v>7475</v>
      </c>
      <c r="Z51" s="311">
        <v>3850</v>
      </c>
      <c r="AA51" s="311">
        <v>3625</v>
      </c>
      <c r="AB51" s="311">
        <v>6874</v>
      </c>
      <c r="AC51" s="311">
        <v>3409</v>
      </c>
      <c r="AD51" s="311">
        <v>3465</v>
      </c>
    </row>
    <row r="52" spans="2:30" ht="15" customHeight="1">
      <c r="B52" s="29"/>
      <c r="C52" s="29"/>
      <c r="D52" s="29"/>
      <c r="E52" s="29"/>
      <c r="F52" s="39"/>
      <c r="G52" s="29"/>
      <c r="H52" s="29"/>
      <c r="I52" s="29"/>
      <c r="J52" s="29"/>
      <c r="K52" s="29"/>
      <c r="L52" s="29"/>
      <c r="M52" s="29"/>
      <c r="N52" s="29"/>
      <c r="O52" s="29"/>
      <c r="P52" s="29"/>
      <c r="Q52" s="29"/>
      <c r="R52" s="29"/>
      <c r="S52" s="29"/>
      <c r="T52" s="29"/>
      <c r="U52" s="29"/>
      <c r="V52" s="29"/>
      <c r="W52" s="29"/>
      <c r="X52" s="149"/>
      <c r="Y52" s="121"/>
      <c r="Z52" s="121"/>
      <c r="AA52" s="121"/>
      <c r="AB52" s="121"/>
      <c r="AC52" s="121"/>
      <c r="AD52" s="121"/>
    </row>
    <row r="53" spans="2:30" ht="15" customHeight="1">
      <c r="B53" s="29"/>
      <c r="C53" s="538" t="s">
        <v>570</v>
      </c>
      <c r="D53" s="538"/>
      <c r="E53" s="313"/>
      <c r="F53" s="444" t="s">
        <v>103</v>
      </c>
      <c r="G53" s="444"/>
      <c r="H53" s="444"/>
      <c r="I53" s="444"/>
      <c r="J53" s="444"/>
      <c r="K53" s="444"/>
      <c r="L53" s="444"/>
      <c r="M53" s="444"/>
      <c r="N53" s="444"/>
      <c r="O53" s="444"/>
      <c r="P53" s="444"/>
      <c r="Q53" s="444"/>
      <c r="R53" s="444"/>
      <c r="S53" s="444"/>
      <c r="T53" s="444"/>
      <c r="U53" s="444"/>
      <c r="V53" s="444"/>
      <c r="W53" s="444"/>
      <c r="X53" s="161"/>
      <c r="Y53" s="312">
        <v>8466</v>
      </c>
      <c r="Z53" s="312">
        <v>5224</v>
      </c>
      <c r="AA53" s="312">
        <v>3242</v>
      </c>
      <c r="AB53" s="312">
        <v>7426</v>
      </c>
      <c r="AC53" s="312">
        <v>4544</v>
      </c>
      <c r="AD53" s="312">
        <v>2882</v>
      </c>
    </row>
    <row r="54" spans="2:30" ht="15" customHeight="1">
      <c r="B54" s="29"/>
      <c r="C54" s="29"/>
      <c r="D54" s="29"/>
      <c r="E54" s="29"/>
      <c r="F54" s="356" t="s">
        <v>103</v>
      </c>
      <c r="G54" s="356"/>
      <c r="H54" s="356"/>
      <c r="I54" s="356"/>
      <c r="J54" s="356"/>
      <c r="K54" s="356"/>
      <c r="L54" s="356"/>
      <c r="M54" s="356"/>
      <c r="N54" s="356"/>
      <c r="O54" s="356"/>
      <c r="P54" s="356"/>
      <c r="Q54" s="356"/>
      <c r="R54" s="356"/>
      <c r="S54" s="356"/>
      <c r="T54" s="356"/>
      <c r="U54" s="356"/>
      <c r="V54" s="356"/>
      <c r="W54" s="356"/>
      <c r="X54" s="162"/>
      <c r="Y54" s="311">
        <v>8466</v>
      </c>
      <c r="Z54" s="311">
        <v>5224</v>
      </c>
      <c r="AA54" s="311">
        <v>3242</v>
      </c>
      <c r="AB54" s="311">
        <v>7426</v>
      </c>
      <c r="AC54" s="311">
        <v>4544</v>
      </c>
      <c r="AD54" s="311">
        <v>2882</v>
      </c>
    </row>
    <row r="55" spans="2:30" ht="15" customHeight="1">
      <c r="B55" s="32"/>
      <c r="C55" s="32"/>
      <c r="D55" s="32"/>
      <c r="E55" s="32"/>
      <c r="F55" s="32"/>
      <c r="G55" s="32"/>
      <c r="H55" s="32"/>
      <c r="I55" s="32"/>
      <c r="J55" s="32"/>
      <c r="K55" s="32"/>
      <c r="L55" s="32"/>
      <c r="M55" s="32"/>
      <c r="N55" s="32"/>
      <c r="O55" s="32"/>
      <c r="P55" s="32"/>
      <c r="Q55" s="32"/>
      <c r="R55" s="32"/>
      <c r="S55" s="32"/>
      <c r="T55" s="32"/>
      <c r="U55" s="32"/>
      <c r="V55" s="32"/>
      <c r="W55" s="32"/>
      <c r="X55" s="153"/>
      <c r="Y55" s="32"/>
      <c r="Z55" s="32"/>
      <c r="AA55" s="32"/>
      <c r="AB55" s="32"/>
      <c r="AC55" s="32"/>
      <c r="AD55" s="32"/>
    </row>
    <row r="56" ht="10.5" customHeight="1"/>
    <row r="57" ht="10.5" customHeight="1"/>
    <row r="58" ht="10.5" customHeight="1"/>
  </sheetData>
  <sheetProtection/>
  <mergeCells count="49">
    <mergeCell ref="F54:W54"/>
    <mergeCell ref="G51:W51"/>
    <mergeCell ref="D47:G47"/>
    <mergeCell ref="H47:W47"/>
    <mergeCell ref="G48:W48"/>
    <mergeCell ref="G49:W49"/>
    <mergeCell ref="G50:W50"/>
    <mergeCell ref="C53:D53"/>
    <mergeCell ref="F53:W53"/>
    <mergeCell ref="H42:W42"/>
    <mergeCell ref="G43:W43"/>
    <mergeCell ref="G44:W44"/>
    <mergeCell ref="G45:W45"/>
    <mergeCell ref="G30:W30"/>
    <mergeCell ref="G31:W31"/>
    <mergeCell ref="G39:W39"/>
    <mergeCell ref="D41:G41"/>
    <mergeCell ref="H41:W41"/>
    <mergeCell ref="G32:W32"/>
    <mergeCell ref="G38:W38"/>
    <mergeCell ref="G33:W33"/>
    <mergeCell ref="G34:W34"/>
    <mergeCell ref="G36:W36"/>
    <mergeCell ref="G28:W28"/>
    <mergeCell ref="D17:G17"/>
    <mergeCell ref="H17:W17"/>
    <mergeCell ref="G18:W18"/>
    <mergeCell ref="G19:W19"/>
    <mergeCell ref="G20:W20"/>
    <mergeCell ref="G37:W37"/>
    <mergeCell ref="C15:D15"/>
    <mergeCell ref="E15:W15"/>
    <mergeCell ref="B3:AD3"/>
    <mergeCell ref="B5:X6"/>
    <mergeCell ref="Y5:AA5"/>
    <mergeCell ref="AB5:AD5"/>
    <mergeCell ref="E9:W9"/>
    <mergeCell ref="C8:D8"/>
    <mergeCell ref="E11:W11"/>
    <mergeCell ref="E12:W12"/>
    <mergeCell ref="E8:W8"/>
    <mergeCell ref="E10:W10"/>
    <mergeCell ref="G27:W27"/>
    <mergeCell ref="G26:W26"/>
    <mergeCell ref="G21:W21"/>
    <mergeCell ref="G22:W22"/>
    <mergeCell ref="G24:W24"/>
    <mergeCell ref="G25:W25"/>
    <mergeCell ref="E13:W13"/>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pageSetUpPr fitToPage="1"/>
  </sheetPr>
  <dimension ref="A1:BM69"/>
  <sheetViews>
    <sheetView zoomScalePageLayoutView="0" workbookViewId="0" topLeftCell="A1">
      <selection activeCell="C3" sqref="C3:BI3"/>
    </sheetView>
  </sheetViews>
  <sheetFormatPr defaultColWidth="9.00390625" defaultRowHeight="13.5"/>
  <cols>
    <col min="1" max="63" width="1.625" style="27" customWidth="1"/>
    <col min="64" max="16384" width="9.00390625" style="27" customWidth="1"/>
  </cols>
  <sheetData>
    <row r="1" spans="1:63" ht="10.5" customHeight="1">
      <c r="A1" s="331" t="s">
        <v>496</v>
      </c>
      <c r="AZ1" s="70"/>
      <c r="BA1" s="70"/>
      <c r="BB1" s="70"/>
      <c r="BC1" s="70"/>
      <c r="BD1" s="70"/>
      <c r="BE1" s="70"/>
      <c r="BF1" s="70"/>
      <c r="BG1" s="70"/>
      <c r="BH1" s="35"/>
      <c r="BK1" s="3"/>
    </row>
    <row r="2" ht="10.5" customHeight="1"/>
    <row r="3" spans="3:62" s="38" customFormat="1" ht="18" customHeight="1">
      <c r="C3" s="445" t="s">
        <v>409</v>
      </c>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56"/>
    </row>
    <row r="4" spans="3:62" s="38" customFormat="1" ht="13.5" customHeight="1">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56"/>
    </row>
    <row r="5" spans="3:62" ht="12.75" customHeight="1">
      <c r="C5" s="474" t="s">
        <v>410</v>
      </c>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25"/>
    </row>
    <row r="6" spans="3:62" ht="6" customHeight="1">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3:62" ht="12.75" customHeight="1">
      <c r="C7" s="475" t="s">
        <v>190</v>
      </c>
      <c r="D7" s="476"/>
      <c r="E7" s="476"/>
      <c r="F7" s="476"/>
      <c r="G7" s="476"/>
      <c r="H7" s="476"/>
      <c r="I7" s="476"/>
      <c r="J7" s="476"/>
      <c r="K7" s="476"/>
      <c r="L7" s="476"/>
      <c r="M7" s="476"/>
      <c r="N7" s="476" t="s">
        <v>362</v>
      </c>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t="s">
        <v>179</v>
      </c>
      <c r="AY7" s="476"/>
      <c r="AZ7" s="476"/>
      <c r="BA7" s="476"/>
      <c r="BB7" s="476"/>
      <c r="BC7" s="476"/>
      <c r="BD7" s="476"/>
      <c r="BE7" s="476"/>
      <c r="BF7" s="476"/>
      <c r="BG7" s="476"/>
      <c r="BH7" s="476"/>
      <c r="BI7" s="477"/>
      <c r="BJ7" s="120"/>
    </row>
    <row r="8" spans="3:62" ht="12.75" customHeight="1">
      <c r="C8" s="478"/>
      <c r="D8" s="479"/>
      <c r="E8" s="479"/>
      <c r="F8" s="479"/>
      <c r="G8" s="479"/>
      <c r="H8" s="479"/>
      <c r="I8" s="479"/>
      <c r="J8" s="479"/>
      <c r="K8" s="479"/>
      <c r="L8" s="479"/>
      <c r="M8" s="480"/>
      <c r="N8" s="479" t="s">
        <v>363</v>
      </c>
      <c r="O8" s="479"/>
      <c r="P8" s="479"/>
      <c r="Q8" s="479"/>
      <c r="R8" s="479"/>
      <c r="S8" s="479"/>
      <c r="T8" s="479"/>
      <c r="U8" s="479"/>
      <c r="V8" s="479"/>
      <c r="W8" s="479"/>
      <c r="X8" s="479"/>
      <c r="Y8" s="479"/>
      <c r="Z8" s="479" t="s">
        <v>182</v>
      </c>
      <c r="AA8" s="479"/>
      <c r="AB8" s="479"/>
      <c r="AC8" s="479"/>
      <c r="AD8" s="479"/>
      <c r="AE8" s="479"/>
      <c r="AF8" s="479"/>
      <c r="AG8" s="479"/>
      <c r="AH8" s="479"/>
      <c r="AI8" s="479"/>
      <c r="AJ8" s="479"/>
      <c r="AK8" s="479"/>
      <c r="AL8" s="563" t="s">
        <v>183</v>
      </c>
      <c r="AM8" s="563"/>
      <c r="AN8" s="563"/>
      <c r="AO8" s="563"/>
      <c r="AP8" s="563"/>
      <c r="AQ8" s="563"/>
      <c r="AR8" s="563"/>
      <c r="AS8" s="563"/>
      <c r="AT8" s="563"/>
      <c r="AU8" s="563"/>
      <c r="AV8" s="563"/>
      <c r="AW8" s="563"/>
      <c r="AX8" s="479"/>
      <c r="AY8" s="479"/>
      <c r="AZ8" s="479"/>
      <c r="BA8" s="479"/>
      <c r="BB8" s="479"/>
      <c r="BC8" s="479"/>
      <c r="BD8" s="479"/>
      <c r="BE8" s="479"/>
      <c r="BF8" s="479"/>
      <c r="BG8" s="479"/>
      <c r="BH8" s="479"/>
      <c r="BI8" s="480"/>
      <c r="BJ8" s="120"/>
    </row>
    <row r="9" spans="3:25" ht="9.75" customHeight="1">
      <c r="C9" s="29"/>
      <c r="D9" s="29"/>
      <c r="E9" s="29"/>
      <c r="F9" s="29"/>
      <c r="G9" s="29"/>
      <c r="H9" s="29"/>
      <c r="I9" s="29"/>
      <c r="J9" s="29"/>
      <c r="K9" s="29"/>
      <c r="L9" s="29"/>
      <c r="M9" s="29"/>
      <c r="N9" s="159"/>
      <c r="O9" s="29"/>
      <c r="P9" s="29"/>
      <c r="Q9" s="29"/>
      <c r="R9" s="29"/>
      <c r="S9" s="29"/>
      <c r="T9" s="29"/>
      <c r="U9" s="29"/>
      <c r="V9" s="29"/>
      <c r="W9" s="29"/>
      <c r="X9" s="29"/>
      <c r="Y9" s="29"/>
    </row>
    <row r="10" spans="4:65" ht="12.75" customHeight="1">
      <c r="D10" s="591" t="s">
        <v>414</v>
      </c>
      <c r="E10" s="591"/>
      <c r="F10" s="591"/>
      <c r="G10" s="474">
        <v>27</v>
      </c>
      <c r="H10" s="474"/>
      <c r="I10" s="474"/>
      <c r="J10" s="474" t="s">
        <v>186</v>
      </c>
      <c r="K10" s="474"/>
      <c r="L10" s="474"/>
      <c r="N10" s="561">
        <v>731720</v>
      </c>
      <c r="O10" s="562"/>
      <c r="P10" s="562"/>
      <c r="Q10" s="562"/>
      <c r="R10" s="562"/>
      <c r="S10" s="562"/>
      <c r="T10" s="562"/>
      <c r="U10" s="562"/>
      <c r="V10" s="562"/>
      <c r="W10" s="562"/>
      <c r="X10" s="562"/>
      <c r="Y10" s="562"/>
      <c r="Z10" s="557">
        <v>355845</v>
      </c>
      <c r="AA10" s="557"/>
      <c r="AB10" s="557"/>
      <c r="AC10" s="557"/>
      <c r="AD10" s="557"/>
      <c r="AE10" s="557"/>
      <c r="AF10" s="557"/>
      <c r="AG10" s="557"/>
      <c r="AH10" s="557"/>
      <c r="AI10" s="557"/>
      <c r="AJ10" s="557"/>
      <c r="AK10" s="557"/>
      <c r="AL10" s="557">
        <v>375875</v>
      </c>
      <c r="AM10" s="557"/>
      <c r="AN10" s="557"/>
      <c r="AO10" s="557"/>
      <c r="AP10" s="557"/>
      <c r="AQ10" s="557"/>
      <c r="AR10" s="557"/>
      <c r="AS10" s="557"/>
      <c r="AT10" s="557"/>
      <c r="AU10" s="557"/>
      <c r="AV10" s="557"/>
      <c r="AW10" s="557"/>
      <c r="AX10" s="590">
        <f>N10/48.16</f>
        <v>15193.521594684387</v>
      </c>
      <c r="AY10" s="590"/>
      <c r="AZ10" s="590"/>
      <c r="BA10" s="590"/>
      <c r="BB10" s="590"/>
      <c r="BC10" s="590"/>
      <c r="BD10" s="590"/>
      <c r="BE10" s="590"/>
      <c r="BF10" s="590"/>
      <c r="BG10" s="590"/>
      <c r="BH10" s="590"/>
      <c r="BI10" s="590"/>
      <c r="BJ10" s="122"/>
      <c r="BL10"/>
      <c r="BM10"/>
    </row>
    <row r="11" spans="7:65" ht="12.75" customHeight="1">
      <c r="G11" s="430">
        <v>32</v>
      </c>
      <c r="H11" s="430"/>
      <c r="I11" s="430"/>
      <c r="N11" s="561">
        <v>725055</v>
      </c>
      <c r="O11" s="562"/>
      <c r="P11" s="562"/>
      <c r="Q11" s="562"/>
      <c r="R11" s="562"/>
      <c r="S11" s="562"/>
      <c r="T11" s="562"/>
      <c r="U11" s="562"/>
      <c r="V11" s="562"/>
      <c r="W11" s="562"/>
      <c r="X11" s="562"/>
      <c r="Y11" s="562"/>
      <c r="Z11" s="557">
        <v>350448</v>
      </c>
      <c r="AA11" s="557"/>
      <c r="AB11" s="557"/>
      <c r="AC11" s="557"/>
      <c r="AD11" s="557"/>
      <c r="AE11" s="557"/>
      <c r="AF11" s="557"/>
      <c r="AG11" s="557"/>
      <c r="AH11" s="557"/>
      <c r="AI11" s="557"/>
      <c r="AJ11" s="557"/>
      <c r="AK11" s="557"/>
      <c r="AL11" s="557">
        <v>374607</v>
      </c>
      <c r="AM11" s="557"/>
      <c r="AN11" s="557"/>
      <c r="AO11" s="557"/>
      <c r="AP11" s="557"/>
      <c r="AQ11" s="557"/>
      <c r="AR11" s="557"/>
      <c r="AS11" s="557"/>
      <c r="AT11" s="557"/>
      <c r="AU11" s="557"/>
      <c r="AV11" s="557"/>
      <c r="AW11" s="557"/>
      <c r="AX11" s="590">
        <f>N11/48.16</f>
        <v>15055.128737541529</v>
      </c>
      <c r="AY11" s="590"/>
      <c r="AZ11" s="590"/>
      <c r="BA11" s="590"/>
      <c r="BB11" s="590"/>
      <c r="BC11" s="590"/>
      <c r="BD11" s="590"/>
      <c r="BE11" s="590"/>
      <c r="BF11" s="590"/>
      <c r="BG11" s="590"/>
      <c r="BH11" s="590"/>
      <c r="BI11" s="590"/>
      <c r="BJ11" s="122"/>
      <c r="BL11"/>
      <c r="BM11"/>
    </row>
    <row r="12" spans="3:65" ht="12.75" customHeight="1">
      <c r="C12" s="29"/>
      <c r="D12" s="29"/>
      <c r="E12" s="29"/>
      <c r="F12" s="29"/>
      <c r="G12" s="430">
        <v>37</v>
      </c>
      <c r="H12" s="430"/>
      <c r="I12" s="430"/>
      <c r="J12" s="29"/>
      <c r="K12" s="29"/>
      <c r="L12" s="29"/>
      <c r="M12" s="29"/>
      <c r="N12" s="561">
        <v>709117</v>
      </c>
      <c r="O12" s="562"/>
      <c r="P12" s="562"/>
      <c r="Q12" s="562"/>
      <c r="R12" s="562"/>
      <c r="S12" s="562"/>
      <c r="T12" s="562"/>
      <c r="U12" s="562"/>
      <c r="V12" s="562"/>
      <c r="W12" s="562"/>
      <c r="X12" s="562"/>
      <c r="Y12" s="562"/>
      <c r="Z12" s="557">
        <v>340947</v>
      </c>
      <c r="AA12" s="557"/>
      <c r="AB12" s="557"/>
      <c r="AC12" s="557"/>
      <c r="AD12" s="557"/>
      <c r="AE12" s="557"/>
      <c r="AF12" s="557"/>
      <c r="AG12" s="557"/>
      <c r="AH12" s="557"/>
      <c r="AI12" s="557"/>
      <c r="AJ12" s="557"/>
      <c r="AK12" s="557"/>
      <c r="AL12" s="557">
        <v>368170</v>
      </c>
      <c r="AM12" s="557"/>
      <c r="AN12" s="557"/>
      <c r="AO12" s="557"/>
      <c r="AP12" s="557"/>
      <c r="AQ12" s="557"/>
      <c r="AR12" s="557"/>
      <c r="AS12" s="557"/>
      <c r="AT12" s="557"/>
      <c r="AU12" s="557"/>
      <c r="AV12" s="557"/>
      <c r="AW12" s="557"/>
      <c r="AX12" s="590">
        <f>N12/48.16</f>
        <v>14724.19019933555</v>
      </c>
      <c r="AY12" s="590"/>
      <c r="AZ12" s="590"/>
      <c r="BA12" s="590"/>
      <c r="BB12" s="590"/>
      <c r="BC12" s="590"/>
      <c r="BD12" s="590"/>
      <c r="BE12" s="590"/>
      <c r="BF12" s="590"/>
      <c r="BG12" s="590"/>
      <c r="BH12" s="590"/>
      <c r="BI12" s="590"/>
      <c r="BJ12" s="122"/>
      <c r="BL12"/>
      <c r="BM12"/>
    </row>
    <row r="13" spans="3:62" ht="9.75" customHeight="1">
      <c r="C13" s="32"/>
      <c r="D13" s="32"/>
      <c r="E13" s="32"/>
      <c r="F13" s="32"/>
      <c r="G13" s="32"/>
      <c r="H13" s="32"/>
      <c r="I13" s="32"/>
      <c r="J13" s="32"/>
      <c r="K13" s="32"/>
      <c r="L13" s="32"/>
      <c r="M13" s="32"/>
      <c r="N13" s="140"/>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29"/>
    </row>
    <row r="14" spans="4:7" ht="10.5" customHeight="1">
      <c r="D14" s="472" t="s">
        <v>277</v>
      </c>
      <c r="E14" s="472"/>
      <c r="F14" s="25" t="s">
        <v>592</v>
      </c>
      <c r="G14" s="335" t="s">
        <v>520</v>
      </c>
    </row>
    <row r="15" spans="3:7" ht="10.5" customHeight="1">
      <c r="C15" s="473" t="s">
        <v>192</v>
      </c>
      <c r="D15" s="473"/>
      <c r="E15" s="473"/>
      <c r="F15" s="25" t="s">
        <v>633</v>
      </c>
      <c r="G15" s="216" t="s">
        <v>584</v>
      </c>
    </row>
    <row r="16" ht="13.5" customHeight="1"/>
    <row r="17" spans="3:62" ht="12.75" customHeight="1">
      <c r="C17" s="474" t="s">
        <v>399</v>
      </c>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25"/>
    </row>
    <row r="18" spans="3:56" ht="6" customHeight="1">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51"/>
      <c r="AD18" s="51"/>
      <c r="AE18" s="51"/>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3:62" ht="12.75" customHeight="1">
      <c r="C19" s="539" t="s">
        <v>190</v>
      </c>
      <c r="D19" s="539"/>
      <c r="E19" s="539"/>
      <c r="F19" s="539"/>
      <c r="G19" s="539"/>
      <c r="H19" s="539"/>
      <c r="I19" s="539"/>
      <c r="J19" s="539"/>
      <c r="K19" s="475"/>
      <c r="L19" s="477" t="s">
        <v>279</v>
      </c>
      <c r="M19" s="539"/>
      <c r="N19" s="539"/>
      <c r="O19" s="539"/>
      <c r="P19" s="539"/>
      <c r="Q19" s="539"/>
      <c r="R19" s="539"/>
      <c r="S19" s="475"/>
      <c r="T19" s="459" t="s">
        <v>360</v>
      </c>
      <c r="U19" s="459"/>
      <c r="V19" s="459"/>
      <c r="W19" s="459"/>
      <c r="X19" s="459"/>
      <c r="Y19" s="459"/>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599" t="s">
        <v>346</v>
      </c>
      <c r="BE19" s="599"/>
      <c r="BF19" s="599"/>
      <c r="BG19" s="599"/>
      <c r="BH19" s="599"/>
      <c r="BI19" s="600"/>
      <c r="BJ19" s="83"/>
    </row>
    <row r="20" spans="3:62" ht="12.75" customHeight="1">
      <c r="C20" s="540"/>
      <c r="D20" s="540"/>
      <c r="E20" s="540"/>
      <c r="F20" s="540"/>
      <c r="G20" s="540"/>
      <c r="H20" s="540"/>
      <c r="I20" s="540"/>
      <c r="J20" s="540"/>
      <c r="K20" s="478"/>
      <c r="L20" s="480"/>
      <c r="M20" s="540"/>
      <c r="N20" s="540"/>
      <c r="O20" s="540"/>
      <c r="P20" s="540"/>
      <c r="Q20" s="540"/>
      <c r="R20" s="540"/>
      <c r="S20" s="478"/>
      <c r="T20" s="467" t="s">
        <v>363</v>
      </c>
      <c r="U20" s="468"/>
      <c r="V20" s="468"/>
      <c r="W20" s="468"/>
      <c r="X20" s="468"/>
      <c r="Y20" s="469"/>
      <c r="Z20" s="592" t="s">
        <v>361</v>
      </c>
      <c r="AA20" s="592"/>
      <c r="AB20" s="592"/>
      <c r="AC20" s="592"/>
      <c r="AD20" s="592"/>
      <c r="AE20" s="592"/>
      <c r="AF20" s="479"/>
      <c r="AG20" s="479"/>
      <c r="AH20" s="479"/>
      <c r="AI20" s="479"/>
      <c r="AJ20" s="479"/>
      <c r="AK20" s="479"/>
      <c r="AL20" s="479"/>
      <c r="AM20" s="479"/>
      <c r="AN20" s="479"/>
      <c r="AO20" s="479"/>
      <c r="AP20" s="479"/>
      <c r="AQ20" s="479"/>
      <c r="AR20" s="565" t="s">
        <v>470</v>
      </c>
      <c r="AS20" s="588"/>
      <c r="AT20" s="588"/>
      <c r="AU20" s="588"/>
      <c r="AV20" s="588"/>
      <c r="AW20" s="589"/>
      <c r="AX20" s="565" t="s">
        <v>471</v>
      </c>
      <c r="AY20" s="588"/>
      <c r="AZ20" s="588"/>
      <c r="BA20" s="588"/>
      <c r="BB20" s="588"/>
      <c r="BC20" s="589"/>
      <c r="BD20" s="601"/>
      <c r="BE20" s="601"/>
      <c r="BF20" s="601"/>
      <c r="BG20" s="601"/>
      <c r="BH20" s="601"/>
      <c r="BI20" s="602"/>
      <c r="BJ20" s="83"/>
    </row>
    <row r="21" spans="3:62" ht="12.75" customHeight="1">
      <c r="C21" s="540"/>
      <c r="D21" s="540"/>
      <c r="E21" s="540"/>
      <c r="F21" s="540"/>
      <c r="G21" s="540"/>
      <c r="H21" s="540"/>
      <c r="I21" s="540"/>
      <c r="J21" s="540"/>
      <c r="K21" s="478"/>
      <c r="L21" s="480"/>
      <c r="M21" s="540"/>
      <c r="N21" s="540"/>
      <c r="O21" s="540"/>
      <c r="P21" s="540"/>
      <c r="Q21" s="540"/>
      <c r="R21" s="540"/>
      <c r="S21" s="478"/>
      <c r="T21" s="470"/>
      <c r="U21" s="471"/>
      <c r="V21" s="471"/>
      <c r="W21" s="471"/>
      <c r="X21" s="471"/>
      <c r="Y21" s="462"/>
      <c r="Z21" s="564" t="s">
        <v>363</v>
      </c>
      <c r="AA21" s="581"/>
      <c r="AB21" s="581"/>
      <c r="AC21" s="581"/>
      <c r="AD21" s="581"/>
      <c r="AE21" s="582"/>
      <c r="AF21" s="603" t="s">
        <v>280</v>
      </c>
      <c r="AG21" s="603"/>
      <c r="AH21" s="603"/>
      <c r="AI21" s="603"/>
      <c r="AJ21" s="603"/>
      <c r="AK21" s="603"/>
      <c r="AL21" s="479" t="s">
        <v>228</v>
      </c>
      <c r="AM21" s="479"/>
      <c r="AN21" s="479"/>
      <c r="AO21" s="479"/>
      <c r="AP21" s="479"/>
      <c r="AQ21" s="479"/>
      <c r="AR21" s="585"/>
      <c r="AS21" s="586"/>
      <c r="AT21" s="586"/>
      <c r="AU21" s="586"/>
      <c r="AV21" s="586"/>
      <c r="AW21" s="587"/>
      <c r="AX21" s="585"/>
      <c r="AY21" s="586"/>
      <c r="AZ21" s="586"/>
      <c r="BA21" s="586"/>
      <c r="BB21" s="586"/>
      <c r="BC21" s="587"/>
      <c r="BD21" s="601"/>
      <c r="BE21" s="601"/>
      <c r="BF21" s="601"/>
      <c r="BG21" s="601"/>
      <c r="BH21" s="601"/>
      <c r="BI21" s="602"/>
      <c r="BJ21" s="83"/>
    </row>
    <row r="22" spans="3:19" ht="9.75" customHeight="1">
      <c r="C22" s="29"/>
      <c r="D22" s="29"/>
      <c r="E22" s="29"/>
      <c r="F22" s="29"/>
      <c r="G22" s="29"/>
      <c r="H22" s="29"/>
      <c r="I22" s="29"/>
      <c r="J22" s="29"/>
      <c r="K22" s="149"/>
      <c r="L22" s="159"/>
      <c r="M22" s="29"/>
      <c r="N22" s="29"/>
      <c r="O22" s="29"/>
      <c r="P22" s="29"/>
      <c r="Q22" s="29"/>
      <c r="R22" s="29"/>
      <c r="S22" s="29"/>
    </row>
    <row r="23" spans="3:62" ht="12.75" customHeight="1">
      <c r="C23" s="29"/>
      <c r="D23" s="466" t="s">
        <v>414</v>
      </c>
      <c r="E23" s="466"/>
      <c r="F23" s="466"/>
      <c r="G23" s="430">
        <v>27</v>
      </c>
      <c r="H23" s="430"/>
      <c r="I23" s="430" t="s">
        <v>186</v>
      </c>
      <c r="J23" s="430"/>
      <c r="K23" s="149"/>
      <c r="L23" s="561">
        <f>SUM(T23,BD23)</f>
        <v>329691</v>
      </c>
      <c r="M23" s="562"/>
      <c r="N23" s="562"/>
      <c r="O23" s="562"/>
      <c r="P23" s="562"/>
      <c r="Q23" s="562"/>
      <c r="R23" s="562"/>
      <c r="S23" s="562"/>
      <c r="T23" s="557">
        <f>SUM(Z23,AR23,AX23)</f>
        <v>329480</v>
      </c>
      <c r="U23" s="557"/>
      <c r="V23" s="557"/>
      <c r="W23" s="557"/>
      <c r="X23" s="557"/>
      <c r="Y23" s="557"/>
      <c r="Z23" s="557">
        <f>SUM(AF23:AQ23)</f>
        <v>201677</v>
      </c>
      <c r="AA23" s="557"/>
      <c r="AB23" s="557"/>
      <c r="AC23" s="557"/>
      <c r="AD23" s="557"/>
      <c r="AE23" s="557"/>
      <c r="AF23" s="557">
        <v>186727</v>
      </c>
      <c r="AG23" s="557"/>
      <c r="AH23" s="557"/>
      <c r="AI23" s="557"/>
      <c r="AJ23" s="557"/>
      <c r="AK23" s="557"/>
      <c r="AL23" s="557">
        <v>14950</v>
      </c>
      <c r="AM23" s="557"/>
      <c r="AN23" s="557"/>
      <c r="AO23" s="557"/>
      <c r="AP23" s="557"/>
      <c r="AQ23" s="557"/>
      <c r="AR23" s="557">
        <v>1769</v>
      </c>
      <c r="AS23" s="557"/>
      <c r="AT23" s="557"/>
      <c r="AU23" s="557"/>
      <c r="AV23" s="557"/>
      <c r="AW23" s="557"/>
      <c r="AX23" s="557">
        <v>126034</v>
      </c>
      <c r="AY23" s="557"/>
      <c r="AZ23" s="557"/>
      <c r="BA23" s="557"/>
      <c r="BB23" s="557"/>
      <c r="BC23" s="557"/>
      <c r="BD23" s="557">
        <v>211</v>
      </c>
      <c r="BE23" s="557"/>
      <c r="BF23" s="557"/>
      <c r="BG23" s="557"/>
      <c r="BH23" s="557"/>
      <c r="BI23" s="557"/>
      <c r="BJ23" s="46"/>
    </row>
    <row r="24" spans="3:62" ht="12.75" customHeight="1">
      <c r="C24" s="29"/>
      <c r="D24" s="29"/>
      <c r="E24" s="29"/>
      <c r="F24" s="29"/>
      <c r="G24" s="430">
        <v>32</v>
      </c>
      <c r="H24" s="430"/>
      <c r="I24" s="29"/>
      <c r="J24" s="29"/>
      <c r="K24" s="149"/>
      <c r="L24" s="561">
        <f>SUM(T24,BD24)</f>
        <v>336659</v>
      </c>
      <c r="M24" s="562"/>
      <c r="N24" s="562"/>
      <c r="O24" s="562"/>
      <c r="P24" s="562"/>
      <c r="Q24" s="562"/>
      <c r="R24" s="562"/>
      <c r="S24" s="562"/>
      <c r="T24" s="557">
        <f>SUM(Z24,AR24,AX24)</f>
        <v>336448</v>
      </c>
      <c r="U24" s="557"/>
      <c r="V24" s="557"/>
      <c r="W24" s="557"/>
      <c r="X24" s="557"/>
      <c r="Y24" s="557"/>
      <c r="Z24" s="557">
        <f>SUM(AF24:AQ24)</f>
        <v>201510</v>
      </c>
      <c r="AA24" s="557"/>
      <c r="AB24" s="557"/>
      <c r="AC24" s="557"/>
      <c r="AD24" s="557"/>
      <c r="AE24" s="557"/>
      <c r="AF24" s="557">
        <v>186769</v>
      </c>
      <c r="AG24" s="557"/>
      <c r="AH24" s="557"/>
      <c r="AI24" s="557"/>
      <c r="AJ24" s="557"/>
      <c r="AK24" s="557"/>
      <c r="AL24" s="557">
        <v>14741</v>
      </c>
      <c r="AM24" s="557"/>
      <c r="AN24" s="557"/>
      <c r="AO24" s="557"/>
      <c r="AP24" s="557"/>
      <c r="AQ24" s="557"/>
      <c r="AR24" s="557">
        <v>1744</v>
      </c>
      <c r="AS24" s="557"/>
      <c r="AT24" s="557"/>
      <c r="AU24" s="557"/>
      <c r="AV24" s="557"/>
      <c r="AW24" s="557"/>
      <c r="AX24" s="557">
        <v>133194</v>
      </c>
      <c r="AY24" s="557"/>
      <c r="AZ24" s="557"/>
      <c r="BA24" s="557"/>
      <c r="BB24" s="557"/>
      <c r="BC24" s="557"/>
      <c r="BD24" s="557">
        <v>211</v>
      </c>
      <c r="BE24" s="557"/>
      <c r="BF24" s="557"/>
      <c r="BG24" s="557"/>
      <c r="BH24" s="557"/>
      <c r="BI24" s="557"/>
      <c r="BJ24" s="46"/>
    </row>
    <row r="25" spans="3:62" ht="12.75" customHeight="1">
      <c r="C25" s="29"/>
      <c r="D25" s="29"/>
      <c r="E25" s="29"/>
      <c r="F25" s="29"/>
      <c r="G25" s="430">
        <v>37</v>
      </c>
      <c r="H25" s="430"/>
      <c r="I25" s="29"/>
      <c r="J25" s="29"/>
      <c r="K25" s="149"/>
      <c r="L25" s="561">
        <f>SUM(T25,BD25)</f>
        <v>338136</v>
      </c>
      <c r="M25" s="562"/>
      <c r="N25" s="562"/>
      <c r="O25" s="562"/>
      <c r="P25" s="562"/>
      <c r="Q25" s="562"/>
      <c r="R25" s="562"/>
      <c r="S25" s="562"/>
      <c r="T25" s="557">
        <f>SUM(Z25,AR25,AX25)</f>
        <v>337925</v>
      </c>
      <c r="U25" s="557"/>
      <c r="V25" s="557"/>
      <c r="W25" s="557"/>
      <c r="X25" s="557"/>
      <c r="Y25" s="557"/>
      <c r="Z25" s="557">
        <f>SUM(AF25:AQ25)</f>
        <v>198995</v>
      </c>
      <c r="AA25" s="557"/>
      <c r="AB25" s="557"/>
      <c r="AC25" s="557"/>
      <c r="AD25" s="557"/>
      <c r="AE25" s="557"/>
      <c r="AF25" s="557">
        <v>184573</v>
      </c>
      <c r="AG25" s="557"/>
      <c r="AH25" s="557"/>
      <c r="AI25" s="557"/>
      <c r="AJ25" s="557"/>
      <c r="AK25" s="557"/>
      <c r="AL25" s="557">
        <v>14422</v>
      </c>
      <c r="AM25" s="557"/>
      <c r="AN25" s="557"/>
      <c r="AO25" s="557"/>
      <c r="AP25" s="557"/>
      <c r="AQ25" s="557"/>
      <c r="AR25" s="557">
        <v>1716</v>
      </c>
      <c r="AS25" s="557"/>
      <c r="AT25" s="557"/>
      <c r="AU25" s="557"/>
      <c r="AV25" s="557"/>
      <c r="AW25" s="557"/>
      <c r="AX25" s="557">
        <v>137214</v>
      </c>
      <c r="AY25" s="557"/>
      <c r="AZ25" s="557"/>
      <c r="BA25" s="557"/>
      <c r="BB25" s="557"/>
      <c r="BC25" s="557"/>
      <c r="BD25" s="557">
        <v>211</v>
      </c>
      <c r="BE25" s="557"/>
      <c r="BF25" s="557"/>
      <c r="BG25" s="557"/>
      <c r="BH25" s="557"/>
      <c r="BI25" s="557"/>
      <c r="BJ25" s="46"/>
    </row>
    <row r="26" spans="3:62" ht="9.75" customHeight="1">
      <c r="C26" s="32"/>
      <c r="D26" s="32"/>
      <c r="E26" s="32"/>
      <c r="F26" s="32"/>
      <c r="G26" s="32"/>
      <c r="H26" s="32"/>
      <c r="I26" s="32"/>
      <c r="J26" s="32"/>
      <c r="K26" s="153"/>
      <c r="L26" s="140"/>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29"/>
    </row>
    <row r="27" spans="4:10" ht="10.5" customHeight="1">
      <c r="D27" s="472" t="s">
        <v>277</v>
      </c>
      <c r="E27" s="472"/>
      <c r="F27" s="25" t="s">
        <v>592</v>
      </c>
      <c r="G27" s="597" t="s">
        <v>7</v>
      </c>
      <c r="H27" s="597"/>
      <c r="I27" s="335" t="s">
        <v>521</v>
      </c>
      <c r="J27" s="216"/>
    </row>
    <row r="28" spans="7:9" ht="10.5" customHeight="1">
      <c r="G28" s="598" t="s">
        <v>254</v>
      </c>
      <c r="H28" s="598"/>
      <c r="I28" s="216" t="s">
        <v>571</v>
      </c>
    </row>
    <row r="29" spans="3:7" ht="10.5" customHeight="1">
      <c r="C29" s="473" t="s">
        <v>192</v>
      </c>
      <c r="D29" s="473"/>
      <c r="E29" s="473"/>
      <c r="F29" s="25" t="s">
        <v>633</v>
      </c>
      <c r="G29" s="216" t="s">
        <v>572</v>
      </c>
    </row>
    <row r="30" spans="4:8" ht="13.5" customHeight="1">
      <c r="D30" s="43"/>
      <c r="E30" s="43"/>
      <c r="F30" s="43"/>
      <c r="G30" s="25"/>
      <c r="H30" s="36"/>
    </row>
    <row r="31" spans="3:62" ht="12.75" customHeight="1">
      <c r="C31" s="474" t="s">
        <v>411</v>
      </c>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25"/>
    </row>
    <row r="32" spans="30:61" ht="6" customHeight="1">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row>
    <row r="33" spans="3:62" ht="12.75" customHeight="1">
      <c r="C33" s="447" t="s">
        <v>190</v>
      </c>
      <c r="D33" s="447"/>
      <c r="E33" s="447"/>
      <c r="F33" s="447"/>
      <c r="G33" s="447"/>
      <c r="H33" s="447"/>
      <c r="I33" s="447"/>
      <c r="J33" s="447"/>
      <c r="K33" s="448"/>
      <c r="L33" s="593" t="s">
        <v>478</v>
      </c>
      <c r="M33" s="594"/>
      <c r="N33" s="594"/>
      <c r="O33" s="594"/>
      <c r="P33" s="594"/>
      <c r="Q33" s="594"/>
      <c r="R33" s="594"/>
      <c r="S33" s="594"/>
      <c r="T33" s="595"/>
      <c r="U33" s="583" t="s">
        <v>582</v>
      </c>
      <c r="V33" s="584"/>
      <c r="W33" s="584"/>
      <c r="X33" s="584"/>
      <c r="Y33" s="584"/>
      <c r="Z33" s="584"/>
      <c r="AA33" s="584"/>
      <c r="AB33" s="584"/>
      <c r="AC33" s="465"/>
      <c r="AD33" s="572" t="s">
        <v>167</v>
      </c>
      <c r="AE33" s="466"/>
      <c r="AF33" s="466"/>
      <c r="AG33" s="466"/>
      <c r="AH33" s="466"/>
      <c r="AI33" s="466"/>
      <c r="AJ33" s="466"/>
      <c r="AK33" s="466"/>
      <c r="AL33" s="466"/>
      <c r="AM33" s="466"/>
      <c r="AN33" s="466"/>
      <c r="AO33" s="466"/>
      <c r="AP33" s="466"/>
      <c r="AQ33" s="466"/>
      <c r="AR33" s="466"/>
      <c r="AS33" s="466"/>
      <c r="AT33" s="446" t="s">
        <v>169</v>
      </c>
      <c r="AU33" s="447"/>
      <c r="AV33" s="447"/>
      <c r="AW33" s="447"/>
      <c r="AX33" s="447"/>
      <c r="AY33" s="447"/>
      <c r="AZ33" s="447"/>
      <c r="BA33" s="447"/>
      <c r="BB33" s="447"/>
      <c r="BC33" s="447"/>
      <c r="BD33" s="447"/>
      <c r="BE33" s="447"/>
      <c r="BF33" s="447"/>
      <c r="BG33" s="447"/>
      <c r="BH33" s="447"/>
      <c r="BI33" s="447"/>
      <c r="BJ33" s="120"/>
    </row>
    <row r="34" spans="3:63" ht="12.75" customHeight="1">
      <c r="C34" s="471"/>
      <c r="D34" s="471"/>
      <c r="E34" s="471"/>
      <c r="F34" s="471"/>
      <c r="G34" s="471"/>
      <c r="H34" s="471"/>
      <c r="I34" s="471"/>
      <c r="J34" s="471"/>
      <c r="K34" s="462"/>
      <c r="L34" s="451"/>
      <c r="M34" s="452"/>
      <c r="N34" s="452"/>
      <c r="O34" s="452"/>
      <c r="P34" s="452"/>
      <c r="Q34" s="452"/>
      <c r="R34" s="452"/>
      <c r="S34" s="452"/>
      <c r="T34" s="596"/>
      <c r="U34" s="585"/>
      <c r="V34" s="586"/>
      <c r="W34" s="586"/>
      <c r="X34" s="586"/>
      <c r="Y34" s="586"/>
      <c r="Z34" s="586"/>
      <c r="AA34" s="586"/>
      <c r="AB34" s="586"/>
      <c r="AC34" s="587"/>
      <c r="AD34" s="564" t="s">
        <v>363</v>
      </c>
      <c r="AE34" s="581"/>
      <c r="AF34" s="581"/>
      <c r="AG34" s="581"/>
      <c r="AH34" s="581"/>
      <c r="AI34" s="582"/>
      <c r="AJ34" s="563" t="s">
        <v>282</v>
      </c>
      <c r="AK34" s="563"/>
      <c r="AL34" s="563"/>
      <c r="AM34" s="563"/>
      <c r="AN34" s="563"/>
      <c r="AO34" s="563" t="s">
        <v>283</v>
      </c>
      <c r="AP34" s="563"/>
      <c r="AQ34" s="563"/>
      <c r="AR34" s="563"/>
      <c r="AS34" s="563"/>
      <c r="AT34" s="564" t="s">
        <v>363</v>
      </c>
      <c r="AU34" s="581"/>
      <c r="AV34" s="581"/>
      <c r="AW34" s="581"/>
      <c r="AX34" s="581"/>
      <c r="AY34" s="582"/>
      <c r="AZ34" s="563" t="s">
        <v>282</v>
      </c>
      <c r="BA34" s="563"/>
      <c r="BB34" s="563"/>
      <c r="BC34" s="563"/>
      <c r="BD34" s="563"/>
      <c r="BE34" s="563" t="s">
        <v>283</v>
      </c>
      <c r="BF34" s="563"/>
      <c r="BG34" s="563"/>
      <c r="BH34" s="563"/>
      <c r="BI34" s="564"/>
      <c r="BJ34" s="28"/>
      <c r="BK34" s="29"/>
    </row>
    <row r="35" spans="3:17" ht="9.75" customHeight="1">
      <c r="C35" s="29"/>
      <c r="D35" s="29"/>
      <c r="E35" s="29"/>
      <c r="F35" s="29"/>
      <c r="G35" s="29"/>
      <c r="H35" s="29"/>
      <c r="I35" s="29"/>
      <c r="J35" s="29"/>
      <c r="K35" s="149"/>
      <c r="L35" s="29"/>
      <c r="M35" s="29"/>
      <c r="N35" s="29"/>
      <c r="O35" s="29"/>
      <c r="P35" s="29"/>
      <c r="Q35" s="29"/>
    </row>
    <row r="36" spans="3:62" ht="12.75" customHeight="1">
      <c r="C36" s="29"/>
      <c r="D36" s="466" t="s">
        <v>414</v>
      </c>
      <c r="E36" s="466"/>
      <c r="F36" s="466"/>
      <c r="G36" s="430">
        <v>27</v>
      </c>
      <c r="H36" s="430"/>
      <c r="I36" s="430" t="s">
        <v>186</v>
      </c>
      <c r="J36" s="430"/>
      <c r="K36" s="149"/>
      <c r="L36" s="558">
        <v>614384</v>
      </c>
      <c r="M36" s="546"/>
      <c r="N36" s="546"/>
      <c r="O36" s="546"/>
      <c r="P36" s="546"/>
      <c r="Q36" s="546"/>
      <c r="R36" s="546"/>
      <c r="S36" s="546"/>
      <c r="T36" s="546"/>
      <c r="U36" s="559">
        <v>84</v>
      </c>
      <c r="V36" s="559"/>
      <c r="W36" s="559"/>
      <c r="X36" s="559"/>
      <c r="Y36" s="559"/>
      <c r="Z36" s="559"/>
      <c r="AA36" s="559"/>
      <c r="AB36" s="559"/>
      <c r="AC36" s="559"/>
      <c r="AD36" s="570">
        <f>SUM(AJ36:AS36)</f>
        <v>87029</v>
      </c>
      <c r="AE36" s="570"/>
      <c r="AF36" s="570"/>
      <c r="AG36" s="570"/>
      <c r="AH36" s="570"/>
      <c r="AI36" s="570"/>
      <c r="AJ36" s="566">
        <v>76954</v>
      </c>
      <c r="AK36" s="566"/>
      <c r="AL36" s="566"/>
      <c r="AM36" s="566"/>
      <c r="AN36" s="566"/>
      <c r="AO36" s="566">
        <v>10075</v>
      </c>
      <c r="AP36" s="566"/>
      <c r="AQ36" s="566"/>
      <c r="AR36" s="566"/>
      <c r="AS36" s="566"/>
      <c r="AT36" s="570">
        <f>SUM(AZ36:BI36)</f>
        <v>204365</v>
      </c>
      <c r="AU36" s="570"/>
      <c r="AV36" s="570"/>
      <c r="AW36" s="570"/>
      <c r="AX36" s="570"/>
      <c r="AY36" s="570"/>
      <c r="AZ36" s="566">
        <v>178366</v>
      </c>
      <c r="BA36" s="566"/>
      <c r="BB36" s="566"/>
      <c r="BC36" s="566"/>
      <c r="BD36" s="566"/>
      <c r="BE36" s="566">
        <v>25999</v>
      </c>
      <c r="BF36" s="566"/>
      <c r="BG36" s="566"/>
      <c r="BH36" s="566"/>
      <c r="BI36" s="566"/>
      <c r="BJ36" s="44"/>
    </row>
    <row r="37" spans="3:62" ht="12.75" customHeight="1">
      <c r="C37" s="29"/>
      <c r="D37" s="29"/>
      <c r="E37" s="29"/>
      <c r="F37" s="29"/>
      <c r="G37" s="430">
        <v>32</v>
      </c>
      <c r="H37" s="430"/>
      <c r="I37" s="29"/>
      <c r="J37" s="29"/>
      <c r="K37" s="149"/>
      <c r="L37" s="558">
        <v>609565</v>
      </c>
      <c r="M37" s="546"/>
      <c r="N37" s="546"/>
      <c r="O37" s="546"/>
      <c r="P37" s="546"/>
      <c r="Q37" s="546"/>
      <c r="R37" s="546"/>
      <c r="S37" s="546"/>
      <c r="T37" s="546"/>
      <c r="U37" s="559">
        <v>84.1</v>
      </c>
      <c r="V37" s="559"/>
      <c r="W37" s="559"/>
      <c r="X37" s="559"/>
      <c r="Y37" s="559"/>
      <c r="Z37" s="559"/>
      <c r="AA37" s="559"/>
      <c r="AB37" s="559"/>
      <c r="AC37" s="559"/>
      <c r="AD37" s="560" t="s">
        <v>634</v>
      </c>
      <c r="AE37" s="560"/>
      <c r="AF37" s="560"/>
      <c r="AG37" s="560"/>
      <c r="AH37" s="560"/>
      <c r="AI37" s="560"/>
      <c r="AJ37" s="577" t="s">
        <v>634</v>
      </c>
      <c r="AK37" s="577"/>
      <c r="AL37" s="577"/>
      <c r="AM37" s="577"/>
      <c r="AN37" s="577"/>
      <c r="AO37" s="577" t="s">
        <v>634</v>
      </c>
      <c r="AP37" s="577"/>
      <c r="AQ37" s="577"/>
      <c r="AR37" s="577"/>
      <c r="AS37" s="577"/>
      <c r="AT37" s="560" t="s">
        <v>634</v>
      </c>
      <c r="AU37" s="560"/>
      <c r="AV37" s="560"/>
      <c r="AW37" s="560"/>
      <c r="AX37" s="560"/>
      <c r="AY37" s="560"/>
      <c r="AZ37" s="577" t="s">
        <v>634</v>
      </c>
      <c r="BA37" s="577"/>
      <c r="BB37" s="577"/>
      <c r="BC37" s="577"/>
      <c r="BD37" s="577"/>
      <c r="BE37" s="577" t="s">
        <v>634</v>
      </c>
      <c r="BF37" s="577"/>
      <c r="BG37" s="577"/>
      <c r="BH37" s="577"/>
      <c r="BI37" s="577"/>
      <c r="BJ37" s="44"/>
    </row>
    <row r="38" spans="3:62" ht="12.75" customHeight="1">
      <c r="C38" s="29"/>
      <c r="D38" s="29"/>
      <c r="E38" s="29"/>
      <c r="F38" s="29"/>
      <c r="G38" s="430">
        <v>37</v>
      </c>
      <c r="H38" s="430"/>
      <c r="I38" s="29"/>
      <c r="J38" s="29"/>
      <c r="K38" s="149"/>
      <c r="L38" s="558">
        <v>596029</v>
      </c>
      <c r="M38" s="546"/>
      <c r="N38" s="546"/>
      <c r="O38" s="546"/>
      <c r="P38" s="546"/>
      <c r="Q38" s="546"/>
      <c r="R38" s="546"/>
      <c r="S38" s="546"/>
      <c r="T38" s="546"/>
      <c r="U38" s="559">
        <v>84.1</v>
      </c>
      <c r="V38" s="559"/>
      <c r="W38" s="559"/>
      <c r="X38" s="559"/>
      <c r="Y38" s="559"/>
      <c r="Z38" s="559"/>
      <c r="AA38" s="559"/>
      <c r="AB38" s="559"/>
      <c r="AC38" s="559"/>
      <c r="AD38" s="560" t="s">
        <v>634</v>
      </c>
      <c r="AE38" s="560"/>
      <c r="AF38" s="560"/>
      <c r="AG38" s="560"/>
      <c r="AH38" s="560"/>
      <c r="AI38" s="560"/>
      <c r="AJ38" s="577" t="s">
        <v>634</v>
      </c>
      <c r="AK38" s="577"/>
      <c r="AL38" s="577"/>
      <c r="AM38" s="577"/>
      <c r="AN38" s="577"/>
      <c r="AO38" s="577" t="s">
        <v>634</v>
      </c>
      <c r="AP38" s="577"/>
      <c r="AQ38" s="577"/>
      <c r="AR38" s="577"/>
      <c r="AS38" s="577"/>
      <c r="AT38" s="560" t="s">
        <v>634</v>
      </c>
      <c r="AU38" s="560"/>
      <c r="AV38" s="560"/>
      <c r="AW38" s="560"/>
      <c r="AX38" s="560"/>
      <c r="AY38" s="560"/>
      <c r="AZ38" s="577" t="s">
        <v>634</v>
      </c>
      <c r="BA38" s="577"/>
      <c r="BB38" s="577"/>
      <c r="BC38" s="577"/>
      <c r="BD38" s="577"/>
      <c r="BE38" s="577" t="s">
        <v>634</v>
      </c>
      <c r="BF38" s="577"/>
      <c r="BG38" s="577"/>
      <c r="BH38" s="577"/>
      <c r="BI38" s="577"/>
      <c r="BJ38" s="44"/>
    </row>
    <row r="39" spans="3:62" ht="9.75" customHeight="1">
      <c r="C39" s="32"/>
      <c r="D39" s="32"/>
      <c r="E39" s="32"/>
      <c r="F39" s="32"/>
      <c r="G39" s="32"/>
      <c r="H39" s="32"/>
      <c r="I39" s="32"/>
      <c r="J39" s="32"/>
      <c r="K39" s="153"/>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29"/>
    </row>
    <row r="40" spans="4:10" ht="10.5" customHeight="1">
      <c r="D40" s="472" t="s">
        <v>277</v>
      </c>
      <c r="E40" s="472"/>
      <c r="F40" s="25" t="s">
        <v>592</v>
      </c>
      <c r="G40" s="335" t="s">
        <v>573</v>
      </c>
      <c r="H40" s="25"/>
      <c r="I40" s="34"/>
      <c r="J40" s="34"/>
    </row>
    <row r="41" spans="3:61" ht="10.5" customHeight="1">
      <c r="C41" s="473" t="s">
        <v>192</v>
      </c>
      <c r="D41" s="473"/>
      <c r="E41" s="473"/>
      <c r="F41" s="25" t="s">
        <v>633</v>
      </c>
      <c r="G41" s="216" t="s">
        <v>585</v>
      </c>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row>
    <row r="42" ht="13.5" customHeight="1"/>
    <row r="43" spans="3:62" ht="12.75" customHeight="1">
      <c r="C43" s="474" t="s">
        <v>583</v>
      </c>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25"/>
    </row>
    <row r="44" spans="3:62" ht="6" customHeight="1">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3:63" ht="12.75" customHeight="1">
      <c r="C45" s="447" t="s">
        <v>190</v>
      </c>
      <c r="D45" s="447"/>
      <c r="E45" s="447"/>
      <c r="F45" s="447"/>
      <c r="G45" s="447"/>
      <c r="H45" s="447"/>
      <c r="I45" s="447"/>
      <c r="J45" s="447"/>
      <c r="K45" s="448"/>
      <c r="L45" s="446" t="s">
        <v>181</v>
      </c>
      <c r="M45" s="447"/>
      <c r="N45" s="447"/>
      <c r="O45" s="447"/>
      <c r="P45" s="448"/>
      <c r="Q45" s="548" t="s">
        <v>261</v>
      </c>
      <c r="R45" s="549"/>
      <c r="S45" s="549"/>
      <c r="T45" s="549"/>
      <c r="U45" s="550"/>
      <c r="V45" s="477" t="s">
        <v>265</v>
      </c>
      <c r="W45" s="539"/>
      <c r="X45" s="539"/>
      <c r="Y45" s="539"/>
      <c r="Z45" s="539"/>
      <c r="AA45" s="539"/>
      <c r="AB45" s="539"/>
      <c r="AC45" s="539"/>
      <c r="AD45" s="539"/>
      <c r="AE45" s="539"/>
      <c r="AF45" s="539"/>
      <c r="AG45" s="539"/>
      <c r="AH45" s="539"/>
      <c r="AI45" s="539"/>
      <c r="AJ45" s="539"/>
      <c r="AK45" s="539"/>
      <c r="AL45" s="539"/>
      <c r="AM45" s="539"/>
      <c r="AN45" s="539"/>
      <c r="AO45" s="475"/>
      <c r="AP45" s="477" t="s">
        <v>269</v>
      </c>
      <c r="AQ45" s="539"/>
      <c r="AR45" s="539"/>
      <c r="AS45" s="539"/>
      <c r="AT45" s="539"/>
      <c r="AU45" s="539"/>
      <c r="AV45" s="539"/>
      <c r="AW45" s="539"/>
      <c r="AX45" s="539"/>
      <c r="AY45" s="539"/>
      <c r="AZ45" s="539"/>
      <c r="BA45" s="539"/>
      <c r="BB45" s="539"/>
      <c r="BC45" s="539"/>
      <c r="BD45" s="539"/>
      <c r="BE45" s="539"/>
      <c r="BF45" s="539"/>
      <c r="BG45" s="539"/>
      <c r="BH45" s="539"/>
      <c r="BI45" s="539"/>
      <c r="BJ45" s="120"/>
      <c r="BK45" s="29"/>
    </row>
    <row r="46" spans="3:63" ht="12.75" customHeight="1">
      <c r="C46" s="466"/>
      <c r="D46" s="466"/>
      <c r="E46" s="466"/>
      <c r="F46" s="466"/>
      <c r="G46" s="466"/>
      <c r="H46" s="466"/>
      <c r="I46" s="466"/>
      <c r="J46" s="466"/>
      <c r="K46" s="460"/>
      <c r="L46" s="572"/>
      <c r="M46" s="466"/>
      <c r="N46" s="466"/>
      <c r="O46" s="466"/>
      <c r="P46" s="460"/>
      <c r="Q46" s="551"/>
      <c r="R46" s="552"/>
      <c r="S46" s="552"/>
      <c r="T46" s="552"/>
      <c r="U46" s="553"/>
      <c r="V46" s="567" t="s">
        <v>363</v>
      </c>
      <c r="W46" s="568"/>
      <c r="X46" s="568"/>
      <c r="Y46" s="568"/>
      <c r="Z46" s="569"/>
      <c r="AA46" s="467" t="s">
        <v>266</v>
      </c>
      <c r="AB46" s="468"/>
      <c r="AC46" s="468"/>
      <c r="AD46" s="468"/>
      <c r="AE46" s="469"/>
      <c r="AF46" s="467" t="s">
        <v>267</v>
      </c>
      <c r="AG46" s="468"/>
      <c r="AH46" s="468"/>
      <c r="AI46" s="468"/>
      <c r="AJ46" s="469"/>
      <c r="AK46" s="466" t="s">
        <v>268</v>
      </c>
      <c r="AL46" s="466"/>
      <c r="AM46" s="466"/>
      <c r="AN46" s="466"/>
      <c r="AO46" s="460"/>
      <c r="AP46" s="567" t="s">
        <v>363</v>
      </c>
      <c r="AQ46" s="568"/>
      <c r="AR46" s="568"/>
      <c r="AS46" s="568"/>
      <c r="AT46" s="569"/>
      <c r="AU46" s="453" t="s">
        <v>632</v>
      </c>
      <c r="AV46" s="579"/>
      <c r="AW46" s="579"/>
      <c r="AX46" s="579"/>
      <c r="AY46" s="579"/>
      <c r="AZ46" s="580"/>
      <c r="BA46" s="453" t="s">
        <v>635</v>
      </c>
      <c r="BB46" s="579"/>
      <c r="BC46" s="579"/>
      <c r="BD46" s="580"/>
      <c r="BE46" s="468" t="s">
        <v>574</v>
      </c>
      <c r="BF46" s="578"/>
      <c r="BG46" s="578"/>
      <c r="BH46" s="578"/>
      <c r="BI46" s="578"/>
      <c r="BJ46" s="120"/>
      <c r="BK46" s="29"/>
    </row>
    <row r="47" spans="3:63" ht="21.75" customHeight="1">
      <c r="C47" s="471"/>
      <c r="D47" s="471"/>
      <c r="E47" s="471"/>
      <c r="F47" s="471"/>
      <c r="G47" s="471"/>
      <c r="H47" s="471"/>
      <c r="I47" s="471"/>
      <c r="J47" s="471"/>
      <c r="K47" s="462"/>
      <c r="L47" s="470"/>
      <c r="M47" s="471"/>
      <c r="N47" s="471"/>
      <c r="O47" s="471"/>
      <c r="P47" s="462"/>
      <c r="Q47" s="554"/>
      <c r="R47" s="555"/>
      <c r="S47" s="555"/>
      <c r="T47" s="555"/>
      <c r="U47" s="556"/>
      <c r="V47" s="554"/>
      <c r="W47" s="555"/>
      <c r="X47" s="555"/>
      <c r="Y47" s="555"/>
      <c r="Z47" s="556"/>
      <c r="AA47" s="470"/>
      <c r="AB47" s="471"/>
      <c r="AC47" s="471"/>
      <c r="AD47" s="471"/>
      <c r="AE47" s="462"/>
      <c r="AF47" s="470"/>
      <c r="AG47" s="471"/>
      <c r="AH47" s="471"/>
      <c r="AI47" s="471"/>
      <c r="AJ47" s="462"/>
      <c r="AK47" s="471"/>
      <c r="AL47" s="471"/>
      <c r="AM47" s="471"/>
      <c r="AN47" s="471"/>
      <c r="AO47" s="462"/>
      <c r="AP47" s="554"/>
      <c r="AQ47" s="555"/>
      <c r="AR47" s="555"/>
      <c r="AS47" s="555"/>
      <c r="AT47" s="556"/>
      <c r="AU47" s="414"/>
      <c r="AV47" s="415"/>
      <c r="AW47" s="415"/>
      <c r="AX47" s="415"/>
      <c r="AY47" s="415"/>
      <c r="AZ47" s="416"/>
      <c r="BA47" s="414"/>
      <c r="BB47" s="415"/>
      <c r="BC47" s="415"/>
      <c r="BD47" s="416"/>
      <c r="BE47" s="426"/>
      <c r="BF47" s="426"/>
      <c r="BG47" s="426"/>
      <c r="BH47" s="426"/>
      <c r="BI47" s="426"/>
      <c r="BJ47" s="120"/>
      <c r="BK47" s="29"/>
    </row>
    <row r="48" spans="11:37" ht="9.75" customHeight="1">
      <c r="K48" s="14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4:62" ht="12.75" customHeight="1">
      <c r="D49" s="571" t="s">
        <v>393</v>
      </c>
      <c r="E49" s="571"/>
      <c r="F49" s="571"/>
      <c r="G49" s="474">
        <v>27</v>
      </c>
      <c r="H49" s="474"/>
      <c r="I49" s="474" t="s">
        <v>186</v>
      </c>
      <c r="J49" s="474"/>
      <c r="K49" s="149"/>
      <c r="L49" s="573">
        <f>SUM(Q49,V49,AP49)</f>
        <v>191109</v>
      </c>
      <c r="M49" s="574"/>
      <c r="N49" s="574"/>
      <c r="O49" s="574"/>
      <c r="P49" s="574"/>
      <c r="Q49" s="576">
        <v>1274</v>
      </c>
      <c r="R49" s="576"/>
      <c r="S49" s="576"/>
      <c r="T49" s="576"/>
      <c r="U49" s="576"/>
      <c r="V49" s="546">
        <f>SUM(AA49:AO49)</f>
        <v>32741</v>
      </c>
      <c r="W49" s="546"/>
      <c r="X49" s="546"/>
      <c r="Y49" s="546"/>
      <c r="Z49" s="546"/>
      <c r="AA49" s="547">
        <v>7</v>
      </c>
      <c r="AB49" s="547"/>
      <c r="AC49" s="547"/>
      <c r="AD49" s="547"/>
      <c r="AE49" s="547"/>
      <c r="AF49" s="547">
        <v>21710</v>
      </c>
      <c r="AG49" s="547"/>
      <c r="AH49" s="547"/>
      <c r="AI49" s="547"/>
      <c r="AJ49" s="547"/>
      <c r="AK49" s="547">
        <v>11024</v>
      </c>
      <c r="AL49" s="547"/>
      <c r="AM49" s="547"/>
      <c r="AN49" s="547"/>
      <c r="AO49" s="547"/>
      <c r="AP49" s="546">
        <f>SUM(AU49:BI49,L58:BI58)</f>
        <v>157094</v>
      </c>
      <c r="AQ49" s="546"/>
      <c r="AR49" s="546"/>
      <c r="AS49" s="546"/>
      <c r="AT49" s="546"/>
      <c r="AU49" s="547">
        <v>532</v>
      </c>
      <c r="AV49" s="374"/>
      <c r="AW49" s="374"/>
      <c r="AX49" s="374"/>
      <c r="AY49" s="374"/>
      <c r="AZ49" s="374"/>
      <c r="BA49" s="547">
        <v>5974</v>
      </c>
      <c r="BB49" s="374"/>
      <c r="BC49" s="374"/>
      <c r="BD49" s="374"/>
      <c r="BE49" s="547">
        <v>12285</v>
      </c>
      <c r="BF49" s="374"/>
      <c r="BG49" s="374"/>
      <c r="BH49" s="374"/>
      <c r="BI49" s="374"/>
      <c r="BJ49" s="46"/>
    </row>
    <row r="50" spans="7:62" ht="12.75" customHeight="1">
      <c r="G50" s="474">
        <v>32</v>
      </c>
      <c r="H50" s="474"/>
      <c r="K50" s="149"/>
      <c r="L50" s="573">
        <f>SUM(Q50,V50,AP50)</f>
        <v>185783</v>
      </c>
      <c r="M50" s="574"/>
      <c r="N50" s="574"/>
      <c r="O50" s="574"/>
      <c r="P50" s="574"/>
      <c r="Q50" s="576">
        <v>1199</v>
      </c>
      <c r="R50" s="576"/>
      <c r="S50" s="576"/>
      <c r="T50" s="576"/>
      <c r="U50" s="576"/>
      <c r="V50" s="546">
        <f>SUM(AA50:AO50)</f>
        <v>30322</v>
      </c>
      <c r="W50" s="546"/>
      <c r="X50" s="546"/>
      <c r="Y50" s="546"/>
      <c r="Z50" s="546"/>
      <c r="AA50" s="547">
        <v>7</v>
      </c>
      <c r="AB50" s="547"/>
      <c r="AC50" s="547"/>
      <c r="AD50" s="547"/>
      <c r="AE50" s="547"/>
      <c r="AF50" s="547">
        <v>20082</v>
      </c>
      <c r="AG50" s="547"/>
      <c r="AH50" s="547"/>
      <c r="AI50" s="547"/>
      <c r="AJ50" s="547"/>
      <c r="AK50" s="547">
        <v>10233</v>
      </c>
      <c r="AL50" s="547"/>
      <c r="AM50" s="547"/>
      <c r="AN50" s="547"/>
      <c r="AO50" s="547"/>
      <c r="AP50" s="546">
        <f>SUM(AU50:BI50,L59:BI59)</f>
        <v>154262</v>
      </c>
      <c r="AQ50" s="546"/>
      <c r="AR50" s="546"/>
      <c r="AS50" s="546"/>
      <c r="AT50" s="546"/>
      <c r="AU50" s="547">
        <v>494</v>
      </c>
      <c r="AV50" s="374"/>
      <c r="AW50" s="374"/>
      <c r="AX50" s="374"/>
      <c r="AY50" s="374"/>
      <c r="AZ50" s="374"/>
      <c r="BA50" s="547">
        <v>5819</v>
      </c>
      <c r="BB50" s="374"/>
      <c r="BC50" s="374"/>
      <c r="BD50" s="374"/>
      <c r="BE50" s="547">
        <v>11818</v>
      </c>
      <c r="BF50" s="374"/>
      <c r="BG50" s="374"/>
      <c r="BH50" s="374"/>
      <c r="BI50" s="374"/>
      <c r="BJ50" s="46"/>
    </row>
    <row r="51" spans="3:62" ht="12.75" customHeight="1">
      <c r="C51" s="29"/>
      <c r="D51" s="29"/>
      <c r="E51" s="29"/>
      <c r="F51" s="29"/>
      <c r="G51" s="430">
        <v>37</v>
      </c>
      <c r="H51" s="430"/>
      <c r="I51" s="29"/>
      <c r="J51" s="29"/>
      <c r="K51" s="149"/>
      <c r="L51" s="573">
        <f>SUM(Q51,V51,AP51)</f>
        <v>180209</v>
      </c>
      <c r="M51" s="575"/>
      <c r="N51" s="575"/>
      <c r="O51" s="575"/>
      <c r="P51" s="575"/>
      <c r="Q51" s="576">
        <v>1145</v>
      </c>
      <c r="R51" s="576"/>
      <c r="S51" s="576"/>
      <c r="T51" s="576"/>
      <c r="U51" s="576"/>
      <c r="V51" s="546">
        <f>SUM(AA51:AO51)</f>
        <v>28267</v>
      </c>
      <c r="W51" s="546"/>
      <c r="X51" s="546"/>
      <c r="Y51" s="546"/>
      <c r="Z51" s="546"/>
      <c r="AA51" s="547">
        <v>7</v>
      </c>
      <c r="AB51" s="547"/>
      <c r="AC51" s="547"/>
      <c r="AD51" s="547"/>
      <c r="AE51" s="547"/>
      <c r="AF51" s="547">
        <v>18694</v>
      </c>
      <c r="AG51" s="547"/>
      <c r="AH51" s="547"/>
      <c r="AI51" s="547"/>
      <c r="AJ51" s="547"/>
      <c r="AK51" s="547">
        <v>9566</v>
      </c>
      <c r="AL51" s="547"/>
      <c r="AM51" s="547"/>
      <c r="AN51" s="547"/>
      <c r="AO51" s="547"/>
      <c r="AP51" s="546">
        <f>SUM(AU51:BI51,L60:BI60)</f>
        <v>150797</v>
      </c>
      <c r="AQ51" s="546"/>
      <c r="AR51" s="546"/>
      <c r="AS51" s="546"/>
      <c r="AT51" s="546"/>
      <c r="AU51" s="547">
        <v>469</v>
      </c>
      <c r="AV51" s="374"/>
      <c r="AW51" s="374"/>
      <c r="AX51" s="374"/>
      <c r="AY51" s="374"/>
      <c r="AZ51" s="374"/>
      <c r="BA51" s="547">
        <v>5637</v>
      </c>
      <c r="BB51" s="374"/>
      <c r="BC51" s="374"/>
      <c r="BD51" s="374"/>
      <c r="BE51" s="547">
        <v>11379</v>
      </c>
      <c r="BF51" s="374"/>
      <c r="BG51" s="374"/>
      <c r="BH51" s="374"/>
      <c r="BI51" s="374"/>
      <c r="BJ51" s="46"/>
    </row>
    <row r="52" spans="3:62" ht="9.75" customHeight="1">
      <c r="C52" s="29"/>
      <c r="D52" s="29"/>
      <c r="E52" s="29"/>
      <c r="F52" s="29"/>
      <c r="G52" s="29"/>
      <c r="H52" s="29"/>
      <c r="I52" s="29"/>
      <c r="J52" s="29"/>
      <c r="K52" s="14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row>
    <row r="53" spans="3:62" ht="6" customHeight="1">
      <c r="C53" s="26"/>
      <c r="D53" s="26"/>
      <c r="E53" s="26"/>
      <c r="F53" s="26"/>
      <c r="G53" s="26"/>
      <c r="H53" s="26"/>
      <c r="I53" s="26"/>
      <c r="J53" s="26"/>
      <c r="K53" s="315"/>
      <c r="L53" s="26"/>
      <c r="M53" s="2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83"/>
    </row>
    <row r="54" spans="3:62" ht="12.75" customHeight="1">
      <c r="C54" s="466" t="s">
        <v>190</v>
      </c>
      <c r="D54" s="466"/>
      <c r="E54" s="466"/>
      <c r="F54" s="466"/>
      <c r="G54" s="466"/>
      <c r="H54" s="466"/>
      <c r="I54" s="466"/>
      <c r="J54" s="466"/>
      <c r="K54" s="460"/>
      <c r="L54" s="470" t="s">
        <v>269</v>
      </c>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28"/>
    </row>
    <row r="55" spans="3:62" ht="12.75" customHeight="1">
      <c r="C55" s="466"/>
      <c r="D55" s="466"/>
      <c r="E55" s="466"/>
      <c r="F55" s="466"/>
      <c r="G55" s="466"/>
      <c r="H55" s="466"/>
      <c r="I55" s="466"/>
      <c r="J55" s="466"/>
      <c r="K55" s="460"/>
      <c r="L55" s="565" t="s">
        <v>575</v>
      </c>
      <c r="M55" s="468"/>
      <c r="N55" s="468"/>
      <c r="O55" s="468"/>
      <c r="P55" s="469"/>
      <c r="Q55" s="565" t="s">
        <v>576</v>
      </c>
      <c r="R55" s="468"/>
      <c r="S55" s="468"/>
      <c r="T55" s="468"/>
      <c r="U55" s="469"/>
      <c r="V55" s="467" t="s">
        <v>272</v>
      </c>
      <c r="W55" s="468"/>
      <c r="X55" s="468"/>
      <c r="Y55" s="468"/>
      <c r="Z55" s="469"/>
      <c r="AA55" s="565" t="s">
        <v>577</v>
      </c>
      <c r="AB55" s="468"/>
      <c r="AC55" s="468"/>
      <c r="AD55" s="468"/>
      <c r="AE55" s="469"/>
      <c r="AF55" s="565" t="s">
        <v>578</v>
      </c>
      <c r="AG55" s="468"/>
      <c r="AH55" s="468"/>
      <c r="AI55" s="468"/>
      <c r="AJ55" s="469"/>
      <c r="AK55" s="565" t="s">
        <v>647</v>
      </c>
      <c r="AL55" s="468"/>
      <c r="AM55" s="468"/>
      <c r="AN55" s="468"/>
      <c r="AO55" s="469"/>
      <c r="AP55" s="565" t="s">
        <v>579</v>
      </c>
      <c r="AQ55" s="468"/>
      <c r="AR55" s="468"/>
      <c r="AS55" s="468"/>
      <c r="AT55" s="469"/>
      <c r="AU55" s="565" t="s">
        <v>580</v>
      </c>
      <c r="AV55" s="588"/>
      <c r="AW55" s="588"/>
      <c r="AX55" s="588"/>
      <c r="AY55" s="588"/>
      <c r="AZ55" s="588"/>
      <c r="BA55" s="588"/>
      <c r="BB55" s="589"/>
      <c r="BC55" s="606" t="s">
        <v>581</v>
      </c>
      <c r="BD55" s="466"/>
      <c r="BE55" s="466"/>
      <c r="BF55" s="466"/>
      <c r="BG55" s="466"/>
      <c r="BH55" s="466"/>
      <c r="BI55" s="466"/>
      <c r="BJ55" s="28"/>
    </row>
    <row r="56" spans="3:62" ht="21" customHeight="1">
      <c r="C56" s="471"/>
      <c r="D56" s="471"/>
      <c r="E56" s="471"/>
      <c r="F56" s="471"/>
      <c r="G56" s="471"/>
      <c r="H56" s="471"/>
      <c r="I56" s="471"/>
      <c r="J56" s="471"/>
      <c r="K56" s="462"/>
      <c r="L56" s="470"/>
      <c r="M56" s="471"/>
      <c r="N56" s="471"/>
      <c r="O56" s="471"/>
      <c r="P56" s="462"/>
      <c r="Q56" s="470"/>
      <c r="R56" s="471"/>
      <c r="S56" s="471"/>
      <c r="T56" s="471"/>
      <c r="U56" s="462"/>
      <c r="V56" s="470"/>
      <c r="W56" s="471"/>
      <c r="X56" s="471"/>
      <c r="Y56" s="471"/>
      <c r="Z56" s="462"/>
      <c r="AA56" s="470"/>
      <c r="AB56" s="471"/>
      <c r="AC56" s="471"/>
      <c r="AD56" s="471"/>
      <c r="AE56" s="462"/>
      <c r="AF56" s="470"/>
      <c r="AG56" s="471"/>
      <c r="AH56" s="471"/>
      <c r="AI56" s="471"/>
      <c r="AJ56" s="462"/>
      <c r="AK56" s="470"/>
      <c r="AL56" s="471"/>
      <c r="AM56" s="471"/>
      <c r="AN56" s="471"/>
      <c r="AO56" s="462"/>
      <c r="AP56" s="470"/>
      <c r="AQ56" s="471"/>
      <c r="AR56" s="471"/>
      <c r="AS56" s="471"/>
      <c r="AT56" s="462"/>
      <c r="AU56" s="585"/>
      <c r="AV56" s="586"/>
      <c r="AW56" s="586"/>
      <c r="AX56" s="586"/>
      <c r="AY56" s="586"/>
      <c r="AZ56" s="586"/>
      <c r="BA56" s="586"/>
      <c r="BB56" s="587"/>
      <c r="BC56" s="471"/>
      <c r="BD56" s="471"/>
      <c r="BE56" s="471"/>
      <c r="BF56" s="471"/>
      <c r="BG56" s="471"/>
      <c r="BH56" s="471"/>
      <c r="BI56" s="471"/>
      <c r="BJ56" s="28"/>
    </row>
    <row r="57" spans="11:61" ht="9.75" customHeight="1">
      <c r="K57" s="14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4:62" ht="12.75" customHeight="1">
      <c r="D58" s="571" t="s">
        <v>393</v>
      </c>
      <c r="E58" s="571"/>
      <c r="F58" s="571"/>
      <c r="G58" s="474">
        <v>27</v>
      </c>
      <c r="H58" s="474"/>
      <c r="I58" s="474" t="s">
        <v>186</v>
      </c>
      <c r="J58" s="474"/>
      <c r="K58" s="149"/>
      <c r="L58" s="604">
        <v>35643</v>
      </c>
      <c r="M58" s="605"/>
      <c r="N58" s="605"/>
      <c r="O58" s="605"/>
      <c r="P58" s="605"/>
      <c r="Q58" s="547">
        <v>4400</v>
      </c>
      <c r="R58" s="607"/>
      <c r="S58" s="607"/>
      <c r="T58" s="607"/>
      <c r="U58" s="607"/>
      <c r="V58" s="547">
        <v>7275</v>
      </c>
      <c r="W58" s="547"/>
      <c r="X58" s="547"/>
      <c r="Y58" s="547"/>
      <c r="Z58" s="547"/>
      <c r="AA58" s="547">
        <v>10082</v>
      </c>
      <c r="AB58" s="547"/>
      <c r="AC58" s="547"/>
      <c r="AD58" s="547"/>
      <c r="AE58" s="547"/>
      <c r="AF58" s="547">
        <v>26844</v>
      </c>
      <c r="AG58" s="547"/>
      <c r="AH58" s="547"/>
      <c r="AI58" s="547"/>
      <c r="AJ58" s="547"/>
      <c r="AK58" s="547">
        <v>11786</v>
      </c>
      <c r="AL58" s="547"/>
      <c r="AM58" s="547"/>
      <c r="AN58" s="547"/>
      <c r="AO58" s="547"/>
      <c r="AP58" s="547">
        <v>1895</v>
      </c>
      <c r="AQ58" s="547"/>
      <c r="AR58" s="547"/>
      <c r="AS58" s="547"/>
      <c r="AT58" s="547"/>
      <c r="AU58" s="547">
        <v>32080</v>
      </c>
      <c r="AV58" s="547"/>
      <c r="AW58" s="547"/>
      <c r="AX58" s="547"/>
      <c r="AY58" s="547"/>
      <c r="AZ58" s="547"/>
      <c r="BA58" s="547"/>
      <c r="BB58" s="547"/>
      <c r="BC58" s="547">
        <v>8298</v>
      </c>
      <c r="BD58" s="547"/>
      <c r="BE58" s="547"/>
      <c r="BF58" s="547"/>
      <c r="BG58" s="547"/>
      <c r="BH58" s="547"/>
      <c r="BI58" s="547"/>
      <c r="BJ58" s="46"/>
    </row>
    <row r="59" spans="3:62" ht="12.75" customHeight="1">
      <c r="C59" s="29"/>
      <c r="D59" s="29"/>
      <c r="E59" s="29"/>
      <c r="F59" s="29"/>
      <c r="G59" s="430">
        <v>32</v>
      </c>
      <c r="H59" s="430"/>
      <c r="I59" s="29"/>
      <c r="J59" s="29"/>
      <c r="K59" s="149"/>
      <c r="L59" s="604">
        <v>33836</v>
      </c>
      <c r="M59" s="605"/>
      <c r="N59" s="605"/>
      <c r="O59" s="605"/>
      <c r="P59" s="605"/>
      <c r="Q59" s="547">
        <v>4157</v>
      </c>
      <c r="R59" s="607"/>
      <c r="S59" s="607"/>
      <c r="T59" s="607"/>
      <c r="U59" s="607"/>
      <c r="V59" s="547">
        <v>7104</v>
      </c>
      <c r="W59" s="547"/>
      <c r="X59" s="547"/>
      <c r="Y59" s="547"/>
      <c r="Z59" s="547"/>
      <c r="AA59" s="547">
        <v>9887</v>
      </c>
      <c r="AB59" s="547"/>
      <c r="AC59" s="547"/>
      <c r="AD59" s="547"/>
      <c r="AE59" s="547"/>
      <c r="AF59" s="547">
        <v>29317</v>
      </c>
      <c r="AG59" s="547"/>
      <c r="AH59" s="547"/>
      <c r="AI59" s="547"/>
      <c r="AJ59" s="547"/>
      <c r="AK59" s="547">
        <v>11145</v>
      </c>
      <c r="AL59" s="547"/>
      <c r="AM59" s="547"/>
      <c r="AN59" s="547"/>
      <c r="AO59" s="547"/>
      <c r="AP59" s="547">
        <v>1835</v>
      </c>
      <c r="AQ59" s="547"/>
      <c r="AR59" s="547"/>
      <c r="AS59" s="547"/>
      <c r="AT59" s="547"/>
      <c r="AU59" s="547">
        <v>30899</v>
      </c>
      <c r="AV59" s="547"/>
      <c r="AW59" s="547"/>
      <c r="AX59" s="547"/>
      <c r="AY59" s="547"/>
      <c r="AZ59" s="547"/>
      <c r="BA59" s="547"/>
      <c r="BB59" s="547"/>
      <c r="BC59" s="547">
        <v>7951</v>
      </c>
      <c r="BD59" s="547"/>
      <c r="BE59" s="547"/>
      <c r="BF59" s="547"/>
      <c r="BG59" s="547"/>
      <c r="BH59" s="547"/>
      <c r="BI59" s="547"/>
      <c r="BJ59" s="46"/>
    </row>
    <row r="60" spans="3:62" ht="12.75" customHeight="1">
      <c r="C60" s="29"/>
      <c r="D60" s="29"/>
      <c r="E60" s="29"/>
      <c r="F60" s="29"/>
      <c r="G60" s="430">
        <v>37</v>
      </c>
      <c r="H60" s="430"/>
      <c r="I60" s="29"/>
      <c r="J60" s="29"/>
      <c r="K60" s="149"/>
      <c r="L60" s="604">
        <v>32109</v>
      </c>
      <c r="M60" s="605"/>
      <c r="N60" s="605"/>
      <c r="O60" s="605"/>
      <c r="P60" s="605"/>
      <c r="Q60" s="547">
        <v>3947</v>
      </c>
      <c r="R60" s="607"/>
      <c r="S60" s="607"/>
      <c r="T60" s="607"/>
      <c r="U60" s="607"/>
      <c r="V60" s="547">
        <v>6871</v>
      </c>
      <c r="W60" s="547"/>
      <c r="X60" s="547"/>
      <c r="Y60" s="547"/>
      <c r="Z60" s="547"/>
      <c r="AA60" s="547">
        <v>9601</v>
      </c>
      <c r="AB60" s="547"/>
      <c r="AC60" s="547"/>
      <c r="AD60" s="547"/>
      <c r="AE60" s="547"/>
      <c r="AF60" s="547">
        <v>31311</v>
      </c>
      <c r="AG60" s="547"/>
      <c r="AH60" s="547"/>
      <c r="AI60" s="547"/>
      <c r="AJ60" s="547"/>
      <c r="AK60" s="547">
        <v>10425</v>
      </c>
      <c r="AL60" s="547"/>
      <c r="AM60" s="547"/>
      <c r="AN60" s="547"/>
      <c r="AO60" s="547"/>
      <c r="AP60" s="547">
        <v>1771</v>
      </c>
      <c r="AQ60" s="547"/>
      <c r="AR60" s="547"/>
      <c r="AS60" s="547"/>
      <c r="AT60" s="547"/>
      <c r="AU60" s="547">
        <v>29640</v>
      </c>
      <c r="AV60" s="547"/>
      <c r="AW60" s="547"/>
      <c r="AX60" s="547"/>
      <c r="AY60" s="547"/>
      <c r="AZ60" s="547"/>
      <c r="BA60" s="547"/>
      <c r="BB60" s="547"/>
      <c r="BC60" s="547">
        <v>7637</v>
      </c>
      <c r="BD60" s="547"/>
      <c r="BE60" s="547"/>
      <c r="BF60" s="547"/>
      <c r="BG60" s="547"/>
      <c r="BH60" s="547"/>
      <c r="BI60" s="547"/>
      <c r="BJ60" s="46"/>
    </row>
    <row r="61" spans="3:62" ht="9.75" customHeight="1">
      <c r="C61" s="32"/>
      <c r="D61" s="32"/>
      <c r="E61" s="32"/>
      <c r="F61" s="32"/>
      <c r="G61" s="32"/>
      <c r="H61" s="32"/>
      <c r="I61" s="32"/>
      <c r="J61" s="32"/>
      <c r="K61" s="153"/>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29"/>
    </row>
    <row r="62" spans="4:38" ht="10.5" customHeight="1">
      <c r="D62" s="472" t="s">
        <v>277</v>
      </c>
      <c r="E62" s="472"/>
      <c r="F62" s="25" t="s">
        <v>592</v>
      </c>
      <c r="G62" s="597" t="s">
        <v>7</v>
      </c>
      <c r="H62" s="597"/>
      <c r="I62" s="335" t="s">
        <v>521</v>
      </c>
      <c r="AL62" s="34"/>
    </row>
    <row r="63" spans="4:35" ht="10.5" customHeight="1">
      <c r="D63" s="1"/>
      <c r="E63" s="1"/>
      <c r="F63" s="25"/>
      <c r="G63" s="608" t="s">
        <v>254</v>
      </c>
      <c r="H63" s="608"/>
      <c r="I63" s="336" t="s">
        <v>638</v>
      </c>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row>
    <row r="64" spans="4:28" ht="10.5" customHeight="1">
      <c r="D64" s="1"/>
      <c r="E64" s="1"/>
      <c r="F64" s="25"/>
      <c r="G64" s="608" t="s">
        <v>646</v>
      </c>
      <c r="H64" s="608"/>
      <c r="I64" s="336" t="s">
        <v>639</v>
      </c>
      <c r="J64" s="51"/>
      <c r="K64" s="51"/>
      <c r="L64" s="51"/>
      <c r="M64" s="51"/>
      <c r="N64" s="51"/>
      <c r="O64" s="51"/>
      <c r="P64" s="51"/>
      <c r="Q64" s="51"/>
      <c r="R64" s="51"/>
      <c r="S64" s="51"/>
      <c r="T64" s="51"/>
      <c r="U64" s="51"/>
      <c r="V64" s="51"/>
      <c r="W64" s="51"/>
      <c r="X64" s="51"/>
      <c r="Y64" s="51"/>
      <c r="Z64" s="51"/>
      <c r="AA64" s="36"/>
      <c r="AB64" s="36"/>
    </row>
    <row r="65" spans="3:39" ht="10.5" customHeight="1">
      <c r="C65" s="473" t="s">
        <v>192</v>
      </c>
      <c r="D65" s="473"/>
      <c r="E65" s="473"/>
      <c r="F65" s="25" t="s">
        <v>633</v>
      </c>
      <c r="G65" s="216" t="s">
        <v>586</v>
      </c>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row>
    <row r="66" ht="10.5" customHeight="1"/>
    <row r="67" ht="10.5" customHeight="1"/>
    <row r="68" spans="14:40" ht="11.25">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row>
    <row r="69" spans="14:35" ht="11.25">
      <c r="N69" s="51"/>
      <c r="O69" s="51"/>
      <c r="P69" s="51"/>
      <c r="Q69" s="51"/>
      <c r="R69" s="51"/>
      <c r="S69" s="51"/>
      <c r="T69" s="51"/>
      <c r="U69" s="51"/>
      <c r="V69" s="51"/>
      <c r="W69" s="51"/>
      <c r="X69" s="51"/>
      <c r="Y69" s="51"/>
      <c r="Z69" s="51"/>
      <c r="AA69" s="51"/>
      <c r="AB69" s="51"/>
      <c r="AC69" s="51"/>
      <c r="AD69" s="51"/>
      <c r="AE69" s="51"/>
      <c r="AF69" s="51"/>
      <c r="AG69" s="51"/>
      <c r="AH69" s="36"/>
      <c r="AI69" s="36"/>
    </row>
  </sheetData>
  <sheetProtection/>
  <mergeCells count="212">
    <mergeCell ref="G62:H62"/>
    <mergeCell ref="G63:H63"/>
    <mergeCell ref="G64:H64"/>
    <mergeCell ref="BC58:BI58"/>
    <mergeCell ref="BC59:BI59"/>
    <mergeCell ref="BC60:BI60"/>
    <mergeCell ref="AP58:AT58"/>
    <mergeCell ref="AP59:AT59"/>
    <mergeCell ref="AP60:AT60"/>
    <mergeCell ref="AU58:BB58"/>
    <mergeCell ref="AU59:BB59"/>
    <mergeCell ref="AU60:BB60"/>
    <mergeCell ref="AF59:AJ59"/>
    <mergeCell ref="AF60:AJ60"/>
    <mergeCell ref="AK58:AO58"/>
    <mergeCell ref="AK59:AO59"/>
    <mergeCell ref="AK60:AO60"/>
    <mergeCell ref="V59:Z59"/>
    <mergeCell ref="V60:Z60"/>
    <mergeCell ref="AA58:AE58"/>
    <mergeCell ref="AA59:AE59"/>
    <mergeCell ref="AA60:AE60"/>
    <mergeCell ref="L59:P59"/>
    <mergeCell ref="L60:P60"/>
    <mergeCell ref="Q58:U58"/>
    <mergeCell ref="Q59:U59"/>
    <mergeCell ref="Q60:U60"/>
    <mergeCell ref="BE50:BI50"/>
    <mergeCell ref="BE51:BI51"/>
    <mergeCell ref="AU55:BB56"/>
    <mergeCell ref="BC55:BI56"/>
    <mergeCell ref="Q51:U51"/>
    <mergeCell ref="BA51:BD51"/>
    <mergeCell ref="AA55:AE56"/>
    <mergeCell ref="U37:AC37"/>
    <mergeCell ref="AD37:AI37"/>
    <mergeCell ref="AJ37:AN37"/>
    <mergeCell ref="L58:P58"/>
    <mergeCell ref="V58:Z58"/>
    <mergeCell ref="AF58:AJ58"/>
    <mergeCell ref="AO37:AS37"/>
    <mergeCell ref="AT37:AY37"/>
    <mergeCell ref="AT38:AY38"/>
    <mergeCell ref="G36:H36"/>
    <mergeCell ref="AZ34:BD34"/>
    <mergeCell ref="G37:H37"/>
    <mergeCell ref="AZ36:BD36"/>
    <mergeCell ref="C33:K34"/>
    <mergeCell ref="AT33:BI33"/>
    <mergeCell ref="BE37:BI37"/>
    <mergeCell ref="C17:BI17"/>
    <mergeCell ref="BD19:BI21"/>
    <mergeCell ref="D23:F23"/>
    <mergeCell ref="AF21:AK21"/>
    <mergeCell ref="AX20:BC21"/>
    <mergeCell ref="G23:H23"/>
    <mergeCell ref="L23:S23"/>
    <mergeCell ref="I23:J23"/>
    <mergeCell ref="L19:S21"/>
    <mergeCell ref="C19:K21"/>
    <mergeCell ref="C29:E29"/>
    <mergeCell ref="D36:F36"/>
    <mergeCell ref="L33:T34"/>
    <mergeCell ref="G24:H24"/>
    <mergeCell ref="T25:Y25"/>
    <mergeCell ref="D27:E27"/>
    <mergeCell ref="G27:H27"/>
    <mergeCell ref="G25:H25"/>
    <mergeCell ref="L36:T36"/>
    <mergeCell ref="G28:H28"/>
    <mergeCell ref="G38:H38"/>
    <mergeCell ref="N8:Y8"/>
    <mergeCell ref="AX7:BI8"/>
    <mergeCell ref="AL21:AQ21"/>
    <mergeCell ref="Z20:AQ20"/>
    <mergeCell ref="T19:BC19"/>
    <mergeCell ref="N11:Y11"/>
    <mergeCell ref="Z21:AE21"/>
    <mergeCell ref="AX11:BI11"/>
    <mergeCell ref="N12:Y12"/>
    <mergeCell ref="AX12:BI12"/>
    <mergeCell ref="Z11:AK11"/>
    <mergeCell ref="D10:F10"/>
    <mergeCell ref="J10:L10"/>
    <mergeCell ref="AL12:AW12"/>
    <mergeCell ref="AX10:BI10"/>
    <mergeCell ref="Z12:AK12"/>
    <mergeCell ref="C7:M8"/>
    <mergeCell ref="AL8:AW8"/>
    <mergeCell ref="N10:Y10"/>
    <mergeCell ref="Z10:AK10"/>
    <mergeCell ref="AL10:AW10"/>
    <mergeCell ref="Z8:AK8"/>
    <mergeCell ref="C3:BI3"/>
    <mergeCell ref="C5:BI5"/>
    <mergeCell ref="C15:E15"/>
    <mergeCell ref="AR20:AW21"/>
    <mergeCell ref="G10:I10"/>
    <mergeCell ref="G11:I11"/>
    <mergeCell ref="G12:I12"/>
    <mergeCell ref="D14:E14"/>
    <mergeCell ref="AL11:AW11"/>
    <mergeCell ref="N7:AW7"/>
    <mergeCell ref="AL25:AQ25"/>
    <mergeCell ref="U36:AC36"/>
    <mergeCell ref="AD34:AI34"/>
    <mergeCell ref="U33:AC34"/>
    <mergeCell ref="AF25:AK25"/>
    <mergeCell ref="AR25:AW25"/>
    <mergeCell ref="AT34:AY34"/>
    <mergeCell ref="Q50:U50"/>
    <mergeCell ref="BA50:BD50"/>
    <mergeCell ref="AU49:AZ49"/>
    <mergeCell ref="BE49:BI49"/>
    <mergeCell ref="BA49:BD49"/>
    <mergeCell ref="AO36:AS36"/>
    <mergeCell ref="AZ38:BD38"/>
    <mergeCell ref="BE38:BI38"/>
    <mergeCell ref="AO38:AS38"/>
    <mergeCell ref="AZ37:BD37"/>
    <mergeCell ref="AF46:AJ47"/>
    <mergeCell ref="BE46:BI47"/>
    <mergeCell ref="AU46:AZ47"/>
    <mergeCell ref="BA46:BD47"/>
    <mergeCell ref="V45:AO45"/>
    <mergeCell ref="AA46:AE47"/>
    <mergeCell ref="AA50:AE50"/>
    <mergeCell ref="AA51:AE51"/>
    <mergeCell ref="AF50:AJ50"/>
    <mergeCell ref="AF51:AJ51"/>
    <mergeCell ref="AK50:AO50"/>
    <mergeCell ref="AK49:AO49"/>
    <mergeCell ref="D58:F58"/>
    <mergeCell ref="G58:H58"/>
    <mergeCell ref="I58:J58"/>
    <mergeCell ref="V49:Z49"/>
    <mergeCell ref="V50:Z50"/>
    <mergeCell ref="V51:Z51"/>
    <mergeCell ref="G49:H49"/>
    <mergeCell ref="I49:J49"/>
    <mergeCell ref="G50:H50"/>
    <mergeCell ref="Q49:U49"/>
    <mergeCell ref="AX23:BC23"/>
    <mergeCell ref="AL23:AQ23"/>
    <mergeCell ref="C65:E65"/>
    <mergeCell ref="C43:BI43"/>
    <mergeCell ref="D62:E62"/>
    <mergeCell ref="G59:H59"/>
    <mergeCell ref="G60:H60"/>
    <mergeCell ref="C45:K47"/>
    <mergeCell ref="V46:Z47"/>
    <mergeCell ref="L54:BI54"/>
    <mergeCell ref="AX24:BC24"/>
    <mergeCell ref="T24:Y24"/>
    <mergeCell ref="AD36:AI36"/>
    <mergeCell ref="T20:Y21"/>
    <mergeCell ref="BD23:BI23"/>
    <mergeCell ref="AR23:AW23"/>
    <mergeCell ref="T23:Y23"/>
    <mergeCell ref="Z23:AE23"/>
    <mergeCell ref="AF23:AK23"/>
    <mergeCell ref="AD33:AS33"/>
    <mergeCell ref="Z24:AE24"/>
    <mergeCell ref="AX25:BC25"/>
    <mergeCell ref="Z25:AE25"/>
    <mergeCell ref="BE36:BI36"/>
    <mergeCell ref="BD24:BI24"/>
    <mergeCell ref="AR24:AW24"/>
    <mergeCell ref="AF24:AK24"/>
    <mergeCell ref="C31:BI31"/>
    <mergeCell ref="BD25:BI25"/>
    <mergeCell ref="L24:S24"/>
    <mergeCell ref="D40:E40"/>
    <mergeCell ref="C41:E41"/>
    <mergeCell ref="D49:F49"/>
    <mergeCell ref="L55:P56"/>
    <mergeCell ref="C54:K56"/>
    <mergeCell ref="L45:P47"/>
    <mergeCell ref="L49:P49"/>
    <mergeCell ref="L50:P50"/>
    <mergeCell ref="L51:P51"/>
    <mergeCell ref="G51:H51"/>
    <mergeCell ref="AK55:AO56"/>
    <mergeCell ref="AP55:AT56"/>
    <mergeCell ref="Q55:U56"/>
    <mergeCell ref="V55:Z56"/>
    <mergeCell ref="AJ36:AN36"/>
    <mergeCell ref="AK46:AO47"/>
    <mergeCell ref="AP46:AT47"/>
    <mergeCell ref="AT36:AY36"/>
    <mergeCell ref="AF55:AJ56"/>
    <mergeCell ref="AP50:AT50"/>
    <mergeCell ref="AL24:AQ24"/>
    <mergeCell ref="L37:T37"/>
    <mergeCell ref="L38:T38"/>
    <mergeCell ref="U38:AC38"/>
    <mergeCell ref="AD38:AI38"/>
    <mergeCell ref="AP45:BI45"/>
    <mergeCell ref="L25:S25"/>
    <mergeCell ref="BE34:BI34"/>
    <mergeCell ref="AO34:AS34"/>
    <mergeCell ref="AJ34:AN34"/>
    <mergeCell ref="AP51:AT51"/>
    <mergeCell ref="AU50:AZ50"/>
    <mergeCell ref="AU51:AZ51"/>
    <mergeCell ref="I36:J36"/>
    <mergeCell ref="Q45:U47"/>
    <mergeCell ref="AP49:AT49"/>
    <mergeCell ref="AA49:AE49"/>
    <mergeCell ref="AF49:AJ49"/>
    <mergeCell ref="AJ38:AN38"/>
    <mergeCell ref="AK51:AO51"/>
  </mergeCells>
  <printOptions horizontalCentered="1"/>
  <pageMargins left="0.4724409448818898" right="0.4724409448818898" top="0.7086614173228347" bottom="0.5905511811023623" header="0" footer="0"/>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B3" sqref="B3:L3"/>
    </sheetView>
  </sheetViews>
  <sheetFormatPr defaultColWidth="9.00390625" defaultRowHeight="13.5"/>
  <cols>
    <col min="1" max="1" width="1.25" style="169" customWidth="1"/>
    <col min="2" max="12" width="9.00390625" style="169" customWidth="1"/>
    <col min="13" max="13" width="1.625" style="169" customWidth="1"/>
    <col min="14" max="16384" width="9.00390625" style="169" customWidth="1"/>
  </cols>
  <sheetData>
    <row r="1" ht="10.5" customHeight="1">
      <c r="M1" s="330" t="s">
        <v>497</v>
      </c>
    </row>
    <row r="2" ht="10.5" customHeight="1"/>
    <row r="3" spans="2:12" s="168" customFormat="1" ht="18" customHeight="1">
      <c r="B3" s="436" t="s">
        <v>475</v>
      </c>
      <c r="C3" s="436"/>
      <c r="D3" s="436"/>
      <c r="E3" s="436"/>
      <c r="F3" s="436"/>
      <c r="G3" s="436"/>
      <c r="H3" s="436"/>
      <c r="I3" s="436"/>
      <c r="J3" s="436"/>
      <c r="K3" s="436"/>
      <c r="L3" s="436"/>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68" customFormat="1" ht="15">
      <c r="B38" s="436" t="s">
        <v>501</v>
      </c>
      <c r="C38" s="436"/>
      <c r="D38" s="436"/>
      <c r="E38" s="436"/>
      <c r="F38" s="436"/>
      <c r="G38" s="436"/>
      <c r="H38" s="436"/>
      <c r="I38" s="436"/>
      <c r="J38" s="436"/>
      <c r="K38" s="436"/>
      <c r="L38" s="436"/>
    </row>
    <row r="39" spans="5:12" ht="12.75" customHeight="1">
      <c r="E39" s="609" t="s">
        <v>502</v>
      </c>
      <c r="F39" s="609"/>
      <c r="G39" s="609"/>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3" sqref="B3:L3"/>
    </sheetView>
  </sheetViews>
  <sheetFormatPr defaultColWidth="9.00390625" defaultRowHeight="13.5"/>
  <cols>
    <col min="1" max="1" width="1.625" style="169" customWidth="1"/>
    <col min="2" max="12" width="9.00390625" style="169" customWidth="1"/>
    <col min="13" max="13" width="1.625" style="169" customWidth="1"/>
    <col min="14" max="16384" width="9.00390625" style="169" customWidth="1"/>
  </cols>
  <sheetData>
    <row r="1" ht="10.5" customHeight="1">
      <c r="A1" s="331" t="s">
        <v>498</v>
      </c>
    </row>
    <row r="2" ht="10.5" customHeight="1"/>
    <row r="3" spans="2:12" s="168" customFormat="1" ht="18" customHeight="1">
      <c r="B3" s="436" t="s">
        <v>476</v>
      </c>
      <c r="C3" s="436"/>
      <c r="D3" s="436"/>
      <c r="E3" s="436"/>
      <c r="F3" s="436"/>
      <c r="G3" s="436"/>
      <c r="H3" s="436"/>
      <c r="I3" s="436"/>
      <c r="J3" s="436"/>
      <c r="K3" s="436"/>
      <c r="L3" s="436"/>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68" customFormat="1" ht="18" customHeight="1">
      <c r="B44" s="436" t="s">
        <v>546</v>
      </c>
      <c r="C44" s="436"/>
      <c r="D44" s="436"/>
      <c r="E44" s="436"/>
      <c r="F44" s="436"/>
      <c r="G44" s="436"/>
      <c r="H44" s="436"/>
      <c r="I44" s="436"/>
      <c r="J44" s="436"/>
      <c r="K44" s="436"/>
      <c r="L44" s="436"/>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2" customHeight="1"/>
  <cols>
    <col min="1" max="1" width="9.00390625" style="168" customWidth="1"/>
    <col min="2" max="4" width="9.50390625" style="168" bestFit="1" customWidth="1"/>
    <col min="5" max="16384" width="9.00390625" style="168" customWidth="1"/>
  </cols>
  <sheetData>
    <row r="1" ht="12" customHeight="1">
      <c r="A1" s="168" t="s">
        <v>386</v>
      </c>
    </row>
    <row r="2" spans="1:4" ht="12" customHeight="1">
      <c r="A2" s="174"/>
      <c r="B2" s="175" t="s">
        <v>182</v>
      </c>
      <c r="C2" s="175" t="s">
        <v>183</v>
      </c>
      <c r="D2" s="174" t="s">
        <v>276</v>
      </c>
    </row>
    <row r="3" spans="1:4" ht="12" customHeight="1">
      <c r="A3" s="174" t="s">
        <v>384</v>
      </c>
      <c r="B3" s="176">
        <v>62263</v>
      </c>
      <c r="C3" s="176">
        <v>62934</v>
      </c>
      <c r="D3" s="177">
        <f aca="true" t="shared" si="0" ref="D3:D13">SUM(B3:C3)</f>
        <v>125197</v>
      </c>
    </row>
    <row r="4" spans="1:4" ht="12" customHeight="1">
      <c r="A4" s="174">
        <v>30</v>
      </c>
      <c r="B4" s="176">
        <v>95518</v>
      </c>
      <c r="C4" s="176">
        <v>90296</v>
      </c>
      <c r="D4" s="177">
        <f t="shared" si="0"/>
        <v>185814</v>
      </c>
    </row>
    <row r="5" spans="1:4" ht="12" customHeight="1">
      <c r="A5" s="174">
        <v>35</v>
      </c>
      <c r="B5" s="176">
        <v>156098</v>
      </c>
      <c r="C5" s="176">
        <v>149530</v>
      </c>
      <c r="D5" s="177">
        <f t="shared" si="0"/>
        <v>305628</v>
      </c>
    </row>
    <row r="6" spans="1:4" ht="12" customHeight="1">
      <c r="A6" s="174">
        <v>40</v>
      </c>
      <c r="B6" s="176">
        <v>222699</v>
      </c>
      <c r="C6" s="176">
        <v>212022</v>
      </c>
      <c r="D6" s="177">
        <f t="shared" si="0"/>
        <v>434721</v>
      </c>
    </row>
    <row r="7" spans="1:4" ht="12" customHeight="1">
      <c r="A7" s="174">
        <v>45</v>
      </c>
      <c r="B7" s="176">
        <v>270356</v>
      </c>
      <c r="C7" s="176">
        <v>257575</v>
      </c>
      <c r="D7" s="177">
        <f t="shared" si="0"/>
        <v>527931</v>
      </c>
    </row>
    <row r="8" spans="1:4" ht="12" customHeight="1">
      <c r="A8" s="174">
        <v>50</v>
      </c>
      <c r="B8" s="176">
        <v>285786</v>
      </c>
      <c r="C8" s="176">
        <v>273879</v>
      </c>
      <c r="D8" s="177">
        <f t="shared" si="0"/>
        <v>559665</v>
      </c>
    </row>
    <row r="9" spans="1:4" ht="12" customHeight="1">
      <c r="A9" s="174">
        <v>55</v>
      </c>
      <c r="B9" s="176">
        <v>285789</v>
      </c>
      <c r="C9" s="176">
        <v>278367</v>
      </c>
      <c r="D9" s="177">
        <f t="shared" si="0"/>
        <v>564156</v>
      </c>
    </row>
    <row r="10" spans="1:4" ht="12" customHeight="1">
      <c r="A10" s="174">
        <v>60</v>
      </c>
      <c r="B10" s="176">
        <v>297239</v>
      </c>
      <c r="C10" s="176">
        <v>290648</v>
      </c>
      <c r="D10" s="177">
        <f t="shared" si="0"/>
        <v>587887</v>
      </c>
    </row>
    <row r="11" spans="1:4" ht="12" customHeight="1">
      <c r="A11" s="174" t="s">
        <v>380</v>
      </c>
      <c r="B11" s="176">
        <v>312074</v>
      </c>
      <c r="C11" s="176">
        <v>306589</v>
      </c>
      <c r="D11" s="177">
        <f t="shared" si="0"/>
        <v>618663</v>
      </c>
    </row>
    <row r="12" spans="1:4" ht="12" customHeight="1">
      <c r="A12" s="174">
        <v>7</v>
      </c>
      <c r="B12" s="176">
        <v>318551</v>
      </c>
      <c r="C12" s="176">
        <v>317195</v>
      </c>
      <c r="D12" s="177">
        <f t="shared" si="0"/>
        <v>635746</v>
      </c>
    </row>
    <row r="13" spans="1:4" ht="12" customHeight="1">
      <c r="A13" s="174">
        <v>12</v>
      </c>
      <c r="B13" s="176">
        <v>327085</v>
      </c>
      <c r="C13" s="176">
        <v>331047</v>
      </c>
      <c r="D13" s="177">
        <f t="shared" si="0"/>
        <v>658132</v>
      </c>
    </row>
    <row r="14" spans="1:10" ht="12" customHeight="1">
      <c r="A14" s="174">
        <v>17</v>
      </c>
      <c r="B14" s="220">
        <v>342567</v>
      </c>
      <c r="C14" s="220">
        <v>349772</v>
      </c>
      <c r="D14" s="220">
        <v>692339</v>
      </c>
      <c r="E14" s="219"/>
      <c r="F14" s="219"/>
      <c r="G14" s="219"/>
      <c r="H14" s="219"/>
      <c r="I14" s="219"/>
      <c r="J14" s="219"/>
    </row>
    <row r="15" spans="1:8" ht="12" customHeight="1">
      <c r="A15" s="174">
        <v>22</v>
      </c>
      <c r="B15" s="322">
        <v>350647</v>
      </c>
      <c r="C15" s="322">
        <v>365477</v>
      </c>
      <c r="D15" s="322">
        <v>716124</v>
      </c>
      <c r="E15" s="219"/>
      <c r="F15" s="219"/>
      <c r="G15" s="219"/>
      <c r="H15" s="219"/>
    </row>
    <row r="18" ht="12" customHeight="1">
      <c r="A18" s="168" t="s">
        <v>385</v>
      </c>
    </row>
    <row r="19" spans="1:2" ht="12" customHeight="1">
      <c r="A19" s="174"/>
      <c r="B19" s="174" t="s">
        <v>185</v>
      </c>
    </row>
    <row r="20" spans="1:8" ht="12" customHeight="1">
      <c r="A20" s="174" t="s">
        <v>384</v>
      </c>
      <c r="B20" s="178">
        <v>27465</v>
      </c>
      <c r="C20" s="172"/>
      <c r="D20" s="172"/>
      <c r="E20" s="172"/>
      <c r="F20" s="172"/>
      <c r="G20" s="172"/>
      <c r="H20" s="172"/>
    </row>
    <row r="21" spans="1:8" ht="12" customHeight="1">
      <c r="A21" s="174">
        <v>30</v>
      </c>
      <c r="B21" s="178">
        <v>41290</v>
      </c>
      <c r="C21" s="172"/>
      <c r="D21" s="172"/>
      <c r="E21" s="172"/>
      <c r="F21" s="172"/>
      <c r="G21" s="172"/>
      <c r="H21" s="172"/>
    </row>
    <row r="22" spans="1:8" ht="12" customHeight="1">
      <c r="A22" s="174">
        <v>35</v>
      </c>
      <c r="B22" s="178">
        <v>79796</v>
      </c>
      <c r="C22" s="172"/>
      <c r="D22" s="172"/>
      <c r="E22" s="172"/>
      <c r="F22" s="172"/>
      <c r="G22" s="172"/>
      <c r="H22" s="172"/>
    </row>
    <row r="23" spans="1:8" ht="12" customHeight="1">
      <c r="A23" s="174">
        <v>40</v>
      </c>
      <c r="B23" s="178">
        <v>124887</v>
      </c>
      <c r="C23" s="172"/>
      <c r="D23" s="172"/>
      <c r="E23" s="172"/>
      <c r="F23" s="172"/>
      <c r="G23" s="172"/>
      <c r="H23" s="172"/>
    </row>
    <row r="24" spans="1:8" ht="12" customHeight="1">
      <c r="A24" s="174">
        <v>45</v>
      </c>
      <c r="B24" s="178">
        <v>165027</v>
      </c>
      <c r="C24" s="172"/>
      <c r="D24" s="172"/>
      <c r="E24" s="172"/>
      <c r="F24" s="172"/>
      <c r="G24" s="172"/>
      <c r="H24" s="172"/>
    </row>
    <row r="25" spans="1:8" ht="12" customHeight="1">
      <c r="A25" s="174">
        <v>50</v>
      </c>
      <c r="B25" s="178">
        <v>187801</v>
      </c>
      <c r="C25" s="172"/>
      <c r="D25" s="172"/>
      <c r="E25" s="172"/>
      <c r="F25" s="172"/>
      <c r="G25" s="172"/>
      <c r="H25" s="172"/>
    </row>
    <row r="26" spans="1:8" ht="12" customHeight="1">
      <c r="A26" s="174">
        <v>55</v>
      </c>
      <c r="B26" s="178">
        <v>202316</v>
      </c>
      <c r="C26" s="172"/>
      <c r="D26" s="172"/>
      <c r="E26" s="172"/>
      <c r="F26" s="172"/>
      <c r="G26" s="172"/>
      <c r="H26" s="172"/>
    </row>
    <row r="27" spans="1:8" ht="12" customHeight="1">
      <c r="A27" s="174">
        <v>60</v>
      </c>
      <c r="B27" s="178">
        <v>215909</v>
      </c>
      <c r="C27" s="172"/>
      <c r="D27" s="172"/>
      <c r="E27" s="172"/>
      <c r="F27" s="172"/>
      <c r="G27" s="172"/>
      <c r="H27" s="172"/>
    </row>
    <row r="28" spans="1:8" ht="12" customHeight="1">
      <c r="A28" s="174" t="s">
        <v>380</v>
      </c>
      <c r="B28" s="178">
        <v>242021</v>
      </c>
      <c r="C28" s="172"/>
      <c r="D28" s="172"/>
      <c r="E28" s="172"/>
      <c r="F28" s="172"/>
      <c r="G28" s="172"/>
      <c r="H28" s="172"/>
    </row>
    <row r="29" spans="1:8" ht="12" customHeight="1">
      <c r="A29" s="174">
        <v>7</v>
      </c>
      <c r="B29" s="178">
        <v>264086</v>
      </c>
      <c r="C29" s="172"/>
      <c r="D29" s="172"/>
      <c r="E29" s="172"/>
      <c r="F29" s="172"/>
      <c r="G29" s="172"/>
      <c r="H29" s="172"/>
    </row>
    <row r="30" spans="1:8" ht="12" customHeight="1">
      <c r="A30" s="174">
        <v>12</v>
      </c>
      <c r="B30" s="178">
        <v>287243</v>
      </c>
      <c r="C30" s="173"/>
      <c r="D30" s="173"/>
      <c r="E30" s="173"/>
      <c r="F30" s="173"/>
      <c r="G30" s="173"/>
      <c r="H30" s="173"/>
    </row>
    <row r="31" spans="1:8" ht="12" customHeight="1">
      <c r="A31" s="174">
        <v>17</v>
      </c>
      <c r="B31" s="222">
        <v>312212</v>
      </c>
      <c r="C31" s="221"/>
      <c r="D31" s="221"/>
      <c r="E31" s="221"/>
      <c r="F31" s="221"/>
      <c r="G31" s="221"/>
      <c r="H31" s="221"/>
    </row>
    <row r="32" spans="1:2" ht="12" customHeight="1">
      <c r="A32" s="174">
        <v>22</v>
      </c>
      <c r="B32" s="222">
        <v>336163</v>
      </c>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2" customWidth="1"/>
    <col min="104" max="16384" width="9.00390625" style="72" customWidth="1"/>
  </cols>
  <sheetData>
    <row r="1" spans="56:58" ht="10.5" customHeight="1">
      <c r="BD1" s="74"/>
      <c r="BE1" s="74"/>
      <c r="BF1" s="74"/>
    </row>
    <row r="2" spans="56:58" ht="10.5" customHeight="1">
      <c r="BD2" s="74"/>
      <c r="BE2" s="74"/>
      <c r="BF2" s="74"/>
    </row>
    <row r="3" spans="3:58" s="199" customFormat="1" ht="15.75" customHeight="1">
      <c r="C3" s="123" t="s">
        <v>150</v>
      </c>
      <c r="BD3" s="200"/>
      <c r="BE3" s="200"/>
      <c r="BF3" s="200"/>
    </row>
    <row r="4" spans="3:58" ht="13.5" customHeight="1">
      <c r="C4" s="185"/>
      <c r="BD4" s="74"/>
      <c r="BE4" s="74"/>
      <c r="BF4" s="74"/>
    </row>
    <row r="5" spans="3:58" ht="13.5" customHeight="1">
      <c r="C5" s="72" t="s">
        <v>151</v>
      </c>
      <c r="BD5" s="74"/>
      <c r="BE5" s="74"/>
      <c r="BF5" s="74"/>
    </row>
    <row r="6" spans="3:61" ht="13.5" customHeight="1">
      <c r="C6" s="344" t="s">
        <v>342</v>
      </c>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row>
    <row r="7" spans="3:58" ht="13.5" customHeight="1">
      <c r="C7" s="72" t="s">
        <v>5</v>
      </c>
      <c r="BD7" s="74"/>
      <c r="BE7" s="74"/>
      <c r="BF7" s="74"/>
    </row>
    <row r="8" spans="3:63" ht="13.5" customHeight="1">
      <c r="C8" s="344" t="s">
        <v>344</v>
      </c>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74"/>
      <c r="BK8" s="74"/>
    </row>
    <row r="9" spans="3:63" ht="13.5" customHeight="1">
      <c r="C9" s="72" t="s">
        <v>598</v>
      </c>
      <c r="BB9" s="74"/>
      <c r="BC9" s="74"/>
      <c r="BD9" s="74"/>
      <c r="BE9" s="74"/>
      <c r="BF9" s="74"/>
      <c r="BG9" s="74"/>
      <c r="BH9" s="74"/>
      <c r="BI9" s="74"/>
      <c r="BJ9" s="74"/>
      <c r="BK9" s="74"/>
    </row>
    <row r="10" spans="54:63" ht="13.5" customHeight="1">
      <c r="BB10" s="74"/>
      <c r="BC10" s="74"/>
      <c r="BD10" s="74"/>
      <c r="BE10" s="74"/>
      <c r="BF10" s="74"/>
      <c r="BG10" s="74"/>
      <c r="BH10" s="74"/>
      <c r="BI10" s="74"/>
      <c r="BJ10" s="74"/>
      <c r="BK10" s="74"/>
    </row>
    <row r="11" spans="3:63" s="199" customFormat="1" ht="15.75" customHeight="1">
      <c r="C11" s="123" t="s">
        <v>152</v>
      </c>
      <c r="BB11" s="200"/>
      <c r="BC11" s="200"/>
      <c r="BD11" s="200"/>
      <c r="BE11" s="200"/>
      <c r="BF11" s="200"/>
      <c r="BG11" s="200"/>
      <c r="BH11" s="200"/>
      <c r="BI11" s="200"/>
      <c r="BJ11" s="200"/>
      <c r="BK11" s="200"/>
    </row>
    <row r="12" spans="3:63" ht="13.5" customHeight="1">
      <c r="C12" s="185"/>
      <c r="BB12" s="74"/>
      <c r="BC12" s="74"/>
      <c r="BD12" s="74"/>
      <c r="BE12" s="74"/>
      <c r="BF12" s="74"/>
      <c r="BG12" s="74"/>
      <c r="BH12" s="74"/>
      <c r="BI12" s="74"/>
      <c r="BJ12" s="74"/>
      <c r="BK12" s="74"/>
    </row>
    <row r="13" spans="3:63" ht="13.5" customHeight="1">
      <c r="C13" s="344" t="s">
        <v>343</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74"/>
      <c r="BK13" s="74"/>
    </row>
    <row r="14" spans="3:63" ht="13.5" customHeight="1">
      <c r="C14" s="72" t="s">
        <v>6</v>
      </c>
      <c r="BB14" s="74"/>
      <c r="BC14" s="74"/>
      <c r="BD14" s="74"/>
      <c r="BE14" s="74"/>
      <c r="BF14" s="74"/>
      <c r="BG14" s="74"/>
      <c r="BH14" s="74"/>
      <c r="BI14" s="74"/>
      <c r="BJ14" s="74"/>
      <c r="BK14" s="74"/>
    </row>
    <row r="15" spans="3:63" ht="13.5" customHeight="1">
      <c r="C15" s="72" t="s">
        <v>550</v>
      </c>
      <c r="BB15" s="74"/>
      <c r="BC15" s="74"/>
      <c r="BD15" s="74"/>
      <c r="BE15" s="74"/>
      <c r="BF15" s="74"/>
      <c r="BG15" s="74"/>
      <c r="BH15" s="74"/>
      <c r="BI15" s="74"/>
      <c r="BJ15" s="74"/>
      <c r="BK15" s="74"/>
    </row>
    <row r="16" spans="54:63" ht="13.5" customHeight="1">
      <c r="BB16" s="74"/>
      <c r="BC16" s="74"/>
      <c r="BD16" s="74"/>
      <c r="BE16" s="74"/>
      <c r="BF16" s="74"/>
      <c r="BG16" s="74"/>
      <c r="BH16" s="74"/>
      <c r="BI16" s="74"/>
      <c r="BJ16" s="74"/>
      <c r="BK16" s="74"/>
    </row>
    <row r="17" spans="3:63" s="199" customFormat="1" ht="15.75" customHeight="1">
      <c r="C17" s="123" t="s">
        <v>153</v>
      </c>
      <c r="BB17" s="200"/>
      <c r="BC17" s="200"/>
      <c r="BD17" s="200"/>
      <c r="BE17" s="200"/>
      <c r="BF17" s="200"/>
      <c r="BG17" s="200"/>
      <c r="BH17" s="200"/>
      <c r="BI17" s="200"/>
      <c r="BJ17" s="200"/>
      <c r="BK17" s="200"/>
    </row>
    <row r="18" spans="3:63" ht="13.5" customHeight="1">
      <c r="C18" s="185"/>
      <c r="BB18" s="74"/>
      <c r="BC18" s="74"/>
      <c r="BD18" s="74"/>
      <c r="BE18" s="74"/>
      <c r="BF18" s="74"/>
      <c r="BG18" s="74"/>
      <c r="BH18" s="74"/>
      <c r="BI18" s="74"/>
      <c r="BJ18" s="74"/>
      <c r="BK18" s="74"/>
    </row>
    <row r="19" spans="3:63" ht="13.5" customHeight="1">
      <c r="C19" s="72" t="s">
        <v>154</v>
      </c>
      <c r="BB19" s="74"/>
      <c r="BC19" s="74"/>
      <c r="BD19" s="74"/>
      <c r="BE19" s="74"/>
      <c r="BF19" s="74"/>
      <c r="BG19" s="74"/>
      <c r="BH19" s="74"/>
      <c r="BI19" s="74"/>
      <c r="BJ19" s="74"/>
      <c r="BK19" s="74"/>
    </row>
    <row r="20" spans="3:63" ht="13.5" customHeight="1">
      <c r="C20" s="72" t="s">
        <v>155</v>
      </c>
      <c r="BB20" s="74"/>
      <c r="BC20" s="74"/>
      <c r="BD20" s="74"/>
      <c r="BE20" s="74"/>
      <c r="BF20" s="74"/>
      <c r="BG20" s="74"/>
      <c r="BH20" s="74"/>
      <c r="BI20" s="74"/>
      <c r="BJ20" s="74"/>
      <c r="BK20" s="74"/>
    </row>
    <row r="21" spans="4:63" ht="13.5" customHeight="1">
      <c r="D21" s="343" t="s">
        <v>7</v>
      </c>
      <c r="E21" s="343"/>
      <c r="F21" s="72" t="s">
        <v>8</v>
      </c>
      <c r="BB21" s="74"/>
      <c r="BC21" s="74"/>
      <c r="BD21" s="74"/>
      <c r="BE21" s="74"/>
      <c r="BF21" s="74"/>
      <c r="BG21" s="74"/>
      <c r="BH21" s="74"/>
      <c r="BI21" s="74"/>
      <c r="BJ21" s="74"/>
      <c r="BK21" s="74"/>
    </row>
    <row r="22" spans="4:63" ht="13.5" customHeight="1">
      <c r="D22" s="343" t="s">
        <v>0</v>
      </c>
      <c r="E22" s="343"/>
      <c r="F22" s="72" t="s">
        <v>9</v>
      </c>
      <c r="BB22" s="74"/>
      <c r="BC22" s="74"/>
      <c r="BD22" s="74"/>
      <c r="BE22" s="74"/>
      <c r="BF22" s="74"/>
      <c r="BG22" s="74"/>
      <c r="BH22" s="74"/>
      <c r="BI22" s="74"/>
      <c r="BJ22" s="74"/>
      <c r="BK22" s="74"/>
    </row>
    <row r="23" spans="4:63" ht="13.5" customHeight="1">
      <c r="D23" s="343" t="s">
        <v>1</v>
      </c>
      <c r="E23" s="343"/>
      <c r="F23" s="72" t="s">
        <v>10</v>
      </c>
      <c r="BB23" s="74"/>
      <c r="BC23" s="74"/>
      <c r="BD23" s="74"/>
      <c r="BE23" s="74"/>
      <c r="BF23" s="74"/>
      <c r="BG23" s="74"/>
      <c r="BH23" s="74"/>
      <c r="BI23" s="74"/>
      <c r="BJ23" s="74"/>
      <c r="BK23" s="74"/>
    </row>
    <row r="24" spans="4:63" ht="13.5" customHeight="1">
      <c r="D24" s="343" t="s">
        <v>2</v>
      </c>
      <c r="E24" s="343"/>
      <c r="F24" s="72" t="s">
        <v>11</v>
      </c>
      <c r="BB24" s="74"/>
      <c r="BC24" s="74"/>
      <c r="BD24" s="74"/>
      <c r="BE24" s="74"/>
      <c r="BF24" s="74"/>
      <c r="BG24" s="74"/>
      <c r="BH24" s="74"/>
      <c r="BI24" s="74"/>
      <c r="BJ24" s="74"/>
      <c r="BK24" s="74"/>
    </row>
    <row r="25" spans="4:63" ht="13.5" customHeight="1">
      <c r="D25" s="343" t="s">
        <v>3</v>
      </c>
      <c r="E25" s="343"/>
      <c r="F25" s="72" t="s">
        <v>12</v>
      </c>
      <c r="BB25" s="74"/>
      <c r="BC25" s="74"/>
      <c r="BD25" s="74"/>
      <c r="BE25" s="74"/>
      <c r="BF25" s="74"/>
      <c r="BG25" s="74"/>
      <c r="BH25" s="74"/>
      <c r="BI25" s="74"/>
      <c r="BJ25" s="74"/>
      <c r="BK25" s="74"/>
    </row>
    <row r="26" spans="4:63" ht="13.5" customHeight="1">
      <c r="D26" s="343" t="s">
        <v>4</v>
      </c>
      <c r="E26" s="343"/>
      <c r="F26" s="344" t="s">
        <v>13</v>
      </c>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74"/>
      <c r="BK26" s="74"/>
    </row>
    <row r="27" spans="6:63" ht="13.5" customHeight="1">
      <c r="F27" s="72" t="s">
        <v>14</v>
      </c>
      <c r="BB27" s="74"/>
      <c r="BC27" s="74"/>
      <c r="BD27" s="74"/>
      <c r="BE27" s="74"/>
      <c r="BF27" s="74"/>
      <c r="BG27" s="74"/>
      <c r="BH27" s="74"/>
      <c r="BI27" s="74"/>
      <c r="BJ27" s="74"/>
      <c r="BK27" s="74"/>
    </row>
    <row r="28" spans="3:63" ht="13.5" customHeight="1">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row>
    <row r="29" spans="3:63" s="199" customFormat="1" ht="15.75" customHeight="1">
      <c r="C29" s="124" t="s">
        <v>156</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row>
    <row r="30" spans="3:63" ht="13.5" customHeight="1">
      <c r="C30" s="198"/>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row>
    <row r="31" spans="3:63" ht="13.5" customHeight="1">
      <c r="C31" s="345" t="s">
        <v>345</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74"/>
      <c r="BK31" s="74"/>
    </row>
    <row r="32" spans="3:63" ht="13.5" customHeight="1">
      <c r="C32" s="74" t="s">
        <v>15</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4"/>
    </row>
    <row r="33" spans="3:63" ht="13.5" customHeight="1">
      <c r="C33" s="74"/>
      <c r="D33" s="343" t="s">
        <v>7</v>
      </c>
      <c r="E33" s="343"/>
      <c r="F33" s="74" t="s">
        <v>16</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4"/>
    </row>
    <row r="34" spans="3:63" ht="13.5" customHeight="1">
      <c r="C34" s="74"/>
      <c r="D34" s="343" t="s">
        <v>0</v>
      </c>
      <c r="E34" s="343"/>
      <c r="F34" s="74" t="s">
        <v>17</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4"/>
    </row>
    <row r="35" spans="3:63" ht="13.5" customHeight="1">
      <c r="C35" s="74"/>
      <c r="D35" s="343" t="s">
        <v>1</v>
      </c>
      <c r="E35" s="343"/>
      <c r="F35" s="74" t="s">
        <v>18</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4"/>
    </row>
    <row r="36" spans="3:63" ht="13.5" customHeight="1">
      <c r="C36" s="345" t="s">
        <v>456</v>
      </c>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77"/>
      <c r="BK36" s="74"/>
    </row>
    <row r="37" spans="3:63" ht="13.5" customHeight="1">
      <c r="C37" s="74" t="s">
        <v>19</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row>
    <row r="38" spans="3:63" ht="13.5"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row>
    <row r="39" spans="3:63" s="199" customFormat="1" ht="15.75" customHeight="1">
      <c r="C39" s="124" t="s">
        <v>157</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row>
    <row r="40" spans="3:63" ht="13.5" customHeight="1">
      <c r="C40" s="198"/>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row>
    <row r="41" spans="3:63" ht="13.5" customHeight="1">
      <c r="C41" s="74" t="s">
        <v>158</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row>
    <row r="42" spans="3:63" ht="13.5" customHeight="1">
      <c r="C42" s="74"/>
      <c r="D42" s="343" t="s">
        <v>7</v>
      </c>
      <c r="E42" s="343"/>
      <c r="F42" s="74" t="s">
        <v>20</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row>
    <row r="43" spans="3:63" ht="13.5" customHeight="1">
      <c r="C43" s="74"/>
      <c r="D43" s="343" t="s">
        <v>0</v>
      </c>
      <c r="E43" s="343"/>
      <c r="F43" s="74" t="s">
        <v>21</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row>
    <row r="44" spans="3:63" ht="13.5" customHeight="1">
      <c r="C44" s="74"/>
      <c r="D44" s="343" t="s">
        <v>1</v>
      </c>
      <c r="E44" s="343"/>
      <c r="F44" s="74" t="s">
        <v>22</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row>
    <row r="45" spans="3:63" ht="13.5" customHeight="1">
      <c r="C45" s="74"/>
      <c r="D45" s="73"/>
      <c r="E45" s="73"/>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row>
    <row r="46" spans="3:63" ht="13.5" customHeight="1">
      <c r="C46" s="74" t="s">
        <v>159</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row>
    <row r="47" spans="3:63" ht="13.5" customHeight="1">
      <c r="C47" s="74"/>
      <c r="D47" s="343" t="s">
        <v>7</v>
      </c>
      <c r="E47" s="343"/>
      <c r="F47" s="74" t="s">
        <v>23</v>
      </c>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row>
    <row r="48" spans="3:63" ht="13.5" customHeight="1">
      <c r="C48" s="74"/>
      <c r="D48" s="343" t="s">
        <v>0</v>
      </c>
      <c r="E48" s="343"/>
      <c r="F48" s="74" t="s">
        <v>24</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row>
    <row r="49" spans="3:63" ht="13.5" customHeight="1">
      <c r="C49" s="74"/>
      <c r="D49" s="343" t="s">
        <v>1</v>
      </c>
      <c r="E49" s="343"/>
      <c r="F49" s="74" t="s">
        <v>25</v>
      </c>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row>
    <row r="50" spans="3:63" ht="13.5" customHeight="1">
      <c r="C50" s="74"/>
      <c r="D50" s="343" t="s">
        <v>2</v>
      </c>
      <c r="E50" s="343"/>
      <c r="F50" s="74" t="s">
        <v>26</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row>
    <row r="51" spans="3:63" ht="13.5" customHeight="1">
      <c r="C51" s="74"/>
      <c r="D51" s="343" t="s">
        <v>3</v>
      </c>
      <c r="E51" s="343"/>
      <c r="F51" s="74" t="s">
        <v>27</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row>
    <row r="52" spans="3:63" ht="13.5" customHeight="1">
      <c r="C52" s="74"/>
      <c r="D52" s="343" t="s">
        <v>4</v>
      </c>
      <c r="E52" s="343"/>
      <c r="F52" s="74" t="s">
        <v>28</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row>
    <row r="53" spans="3:63" ht="13.5"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row>
    <row r="54" spans="3:63" s="199" customFormat="1" ht="15.75" customHeight="1">
      <c r="C54" s="123" t="s">
        <v>160</v>
      </c>
      <c r="BB54" s="200"/>
      <c r="BC54" s="200"/>
      <c r="BD54" s="200"/>
      <c r="BE54" s="200"/>
      <c r="BF54" s="200"/>
      <c r="BJ54" s="200"/>
      <c r="BK54" s="200"/>
    </row>
    <row r="55" spans="3:63" ht="13.5" customHeight="1">
      <c r="C55" s="185"/>
      <c r="BB55" s="74"/>
      <c r="BC55" s="74"/>
      <c r="BD55" s="74"/>
      <c r="BE55" s="74"/>
      <c r="BF55" s="74"/>
      <c r="BJ55" s="74"/>
      <c r="BK55" s="74"/>
    </row>
    <row r="56" spans="3:61" ht="19.5" customHeight="1">
      <c r="C56" s="125"/>
      <c r="D56" s="126" t="s">
        <v>447</v>
      </c>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7"/>
      <c r="AR56" s="128"/>
      <c r="AS56" s="129" t="s">
        <v>452</v>
      </c>
      <c r="AT56" s="129"/>
      <c r="AU56" s="129"/>
      <c r="AV56" s="129"/>
      <c r="AW56" s="129"/>
      <c r="AX56" s="129"/>
      <c r="AY56" s="129"/>
      <c r="AZ56" s="129"/>
      <c r="BA56" s="129"/>
      <c r="BB56" s="129"/>
      <c r="BC56" s="129"/>
      <c r="BD56" s="129"/>
      <c r="BE56" s="129"/>
      <c r="BF56" s="129"/>
      <c r="BG56" s="129"/>
      <c r="BH56" s="129"/>
      <c r="BI56" s="130"/>
    </row>
    <row r="57" spans="3:61" ht="19.5" customHeight="1">
      <c r="C57" s="128"/>
      <c r="D57" s="129" t="s">
        <v>448</v>
      </c>
      <c r="E57" s="129"/>
      <c r="F57" s="129"/>
      <c r="G57" s="129"/>
      <c r="H57" s="129"/>
      <c r="I57" s="129"/>
      <c r="J57" s="129"/>
      <c r="K57" s="129"/>
      <c r="L57" s="129"/>
      <c r="M57" s="129"/>
      <c r="N57" s="129"/>
      <c r="O57" s="129"/>
      <c r="P57" s="129"/>
      <c r="Q57" s="129"/>
      <c r="R57" s="129"/>
      <c r="S57" s="128"/>
      <c r="T57" s="74" t="s">
        <v>449</v>
      </c>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128"/>
      <c r="AS57" s="129" t="s">
        <v>453</v>
      </c>
      <c r="AT57" s="129"/>
      <c r="AU57" s="129"/>
      <c r="AV57" s="129"/>
      <c r="AW57" s="129"/>
      <c r="AX57" s="129"/>
      <c r="AY57" s="129"/>
      <c r="AZ57" s="129"/>
      <c r="BA57" s="129"/>
      <c r="BB57" s="129"/>
      <c r="BC57" s="129"/>
      <c r="BD57" s="129"/>
      <c r="BE57" s="129"/>
      <c r="BF57" s="129"/>
      <c r="BG57" s="129"/>
      <c r="BH57" s="129"/>
      <c r="BI57" s="130"/>
    </row>
    <row r="58" spans="3:61" ht="19.5" customHeight="1">
      <c r="C58" s="131"/>
      <c r="D58" s="74"/>
      <c r="E58" s="74"/>
      <c r="F58" s="74"/>
      <c r="G58" s="74"/>
      <c r="H58" s="74"/>
      <c r="I58" s="74"/>
      <c r="J58" s="74"/>
      <c r="K58" s="74"/>
      <c r="L58" s="74"/>
      <c r="M58" s="74"/>
      <c r="N58" s="74"/>
      <c r="O58" s="74"/>
      <c r="P58" s="74"/>
      <c r="Q58" s="74"/>
      <c r="R58" s="74"/>
      <c r="S58" s="125"/>
      <c r="T58" s="126" t="s">
        <v>450</v>
      </c>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7"/>
      <c r="AR58" s="132"/>
      <c r="AS58" s="133"/>
      <c r="AT58" s="133"/>
      <c r="AU58" s="133"/>
      <c r="AV58" s="133"/>
      <c r="AW58" s="133"/>
      <c r="AX58" s="133"/>
      <c r="AY58" s="133"/>
      <c r="AZ58" s="133"/>
      <c r="BA58" s="133"/>
      <c r="BB58" s="133"/>
      <c r="BC58" s="133"/>
      <c r="BD58" s="133"/>
      <c r="BE58" s="133"/>
      <c r="BF58" s="133"/>
      <c r="BG58" s="133"/>
      <c r="BH58" s="133"/>
      <c r="BI58" s="134"/>
    </row>
    <row r="59" spans="3:61" ht="19.5" customHeight="1">
      <c r="C59" s="132"/>
      <c r="D59" s="133"/>
      <c r="E59" s="133"/>
      <c r="F59" s="133"/>
      <c r="G59" s="133"/>
      <c r="H59" s="133"/>
      <c r="I59" s="133"/>
      <c r="J59" s="133"/>
      <c r="K59" s="133"/>
      <c r="L59" s="133"/>
      <c r="M59" s="133"/>
      <c r="N59" s="133"/>
      <c r="O59" s="133"/>
      <c r="P59" s="133"/>
      <c r="Q59" s="133"/>
      <c r="R59" s="133"/>
      <c r="S59" s="125"/>
      <c r="T59" s="126" t="s">
        <v>451</v>
      </c>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7"/>
      <c r="AR59" s="126"/>
      <c r="AS59" s="126" t="s">
        <v>454</v>
      </c>
      <c r="AT59" s="126"/>
      <c r="AU59" s="126"/>
      <c r="AV59" s="126"/>
      <c r="AW59" s="126"/>
      <c r="AX59" s="126"/>
      <c r="AY59" s="126"/>
      <c r="AZ59" s="126"/>
      <c r="BA59" s="126"/>
      <c r="BB59" s="126"/>
      <c r="BC59" s="126"/>
      <c r="BD59" s="126"/>
      <c r="BE59" s="126"/>
      <c r="BF59" s="126"/>
      <c r="BG59" s="126"/>
      <c r="BH59" s="126"/>
      <c r="BI59" s="127"/>
    </row>
    <row r="60" spans="54:63" ht="13.5" customHeight="1">
      <c r="BB60" s="74"/>
      <c r="BC60" s="74"/>
      <c r="BD60" s="74"/>
      <c r="BE60" s="74"/>
      <c r="BF60" s="74"/>
      <c r="BJ60" s="74"/>
      <c r="BK60" s="74"/>
    </row>
    <row r="61" ht="13.5" customHeight="1"/>
    <row r="62" ht="13.5" customHeight="1"/>
    <row r="63" ht="13.5" customHeight="1"/>
    <row r="64" ht="13.5" customHeight="1"/>
    <row r="65" ht="13.5" customHeight="1"/>
    <row r="66" ht="13.5" customHeight="1"/>
  </sheetData>
  <sheetProtection/>
  <mergeCells count="24">
    <mergeCell ref="D49:E49"/>
    <mergeCell ref="D50:E50"/>
    <mergeCell ref="D26:E26"/>
    <mergeCell ref="F26:BI26"/>
    <mergeCell ref="C31:BI31"/>
    <mergeCell ref="D33:E33"/>
    <mergeCell ref="D51:E51"/>
    <mergeCell ref="D52:E52"/>
    <mergeCell ref="D34:E34"/>
    <mergeCell ref="D35:E35"/>
    <mergeCell ref="C36:BI36"/>
    <mergeCell ref="D42:E42"/>
    <mergeCell ref="D43:E43"/>
    <mergeCell ref="D44:E44"/>
    <mergeCell ref="D47:E47"/>
    <mergeCell ref="D48:E48"/>
    <mergeCell ref="D24:E24"/>
    <mergeCell ref="D25:E25"/>
    <mergeCell ref="C6:BI6"/>
    <mergeCell ref="C8:BI8"/>
    <mergeCell ref="C13:BI13"/>
    <mergeCell ref="D21:E21"/>
    <mergeCell ref="D22:E22"/>
    <mergeCell ref="D23:E2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B3:N32"/>
  <sheetViews>
    <sheetView zoomScalePageLayoutView="0" workbookViewId="0" topLeftCell="A1">
      <selection activeCell="B1" sqref="B1"/>
    </sheetView>
  </sheetViews>
  <sheetFormatPr defaultColWidth="9.00390625" defaultRowHeight="13.5"/>
  <cols>
    <col min="1" max="1" width="1.625" style="169" customWidth="1"/>
    <col min="2" max="12" width="8.625" style="169" customWidth="1"/>
    <col min="13" max="15" width="1.625" style="169" customWidth="1"/>
    <col min="16" max="16384" width="9.00390625" style="169" customWidth="1"/>
  </cols>
  <sheetData>
    <row r="1" ht="10.5" customHeight="1"/>
    <row r="2" ht="10.5" customHeight="1"/>
    <row r="3" spans="2:14" s="168" customFormat="1" ht="13.5" customHeight="1">
      <c r="B3" s="38" t="s">
        <v>383</v>
      </c>
      <c r="C3" s="38"/>
      <c r="D3" s="38"/>
      <c r="E3" s="38"/>
      <c r="F3" s="38"/>
      <c r="G3" s="38"/>
      <c r="H3" s="38"/>
      <c r="I3" s="38"/>
      <c r="J3" s="38"/>
      <c r="K3" s="38"/>
      <c r="L3" s="38"/>
      <c r="M3" s="38"/>
      <c r="N3" s="38"/>
    </row>
    <row r="4" spans="2:14" s="168" customFormat="1" ht="13.5" customHeight="1">
      <c r="B4" s="38"/>
      <c r="C4" s="38"/>
      <c r="D4" s="38"/>
      <c r="E4" s="38"/>
      <c r="F4" s="38"/>
      <c r="G4" s="38"/>
      <c r="H4" s="38"/>
      <c r="I4" s="38"/>
      <c r="J4" s="38"/>
      <c r="K4" s="38"/>
      <c r="L4" s="38"/>
      <c r="M4" s="38"/>
      <c r="N4" s="38"/>
    </row>
    <row r="5" spans="3:4" ht="12.75" customHeight="1">
      <c r="C5" s="169" t="s">
        <v>281</v>
      </c>
      <c r="D5" s="169" t="s">
        <v>171</v>
      </c>
    </row>
    <row r="6" spans="2:8" ht="10.5" customHeight="1">
      <c r="B6" s="169" t="s">
        <v>381</v>
      </c>
      <c r="C6" s="228">
        <v>111792</v>
      </c>
      <c r="D6" s="171">
        <v>97991</v>
      </c>
      <c r="F6" s="170"/>
      <c r="G6" s="170"/>
      <c r="H6" s="225"/>
    </row>
    <row r="7" spans="2:8" ht="10.5" customHeight="1">
      <c r="B7" s="169">
        <v>30</v>
      </c>
      <c r="C7" s="226">
        <v>185814</v>
      </c>
      <c r="D7" s="225">
        <v>154462</v>
      </c>
      <c r="F7" s="170"/>
      <c r="G7" s="170"/>
      <c r="H7" s="171"/>
    </row>
    <row r="8" spans="2:8" ht="10.5" customHeight="1">
      <c r="B8" s="169">
        <v>35</v>
      </c>
      <c r="C8" s="226">
        <v>305628</v>
      </c>
      <c r="D8" s="171">
        <v>239543</v>
      </c>
      <c r="F8" s="29"/>
      <c r="G8" s="29"/>
      <c r="H8" s="171"/>
    </row>
    <row r="9" spans="2:8" ht="10.5" customHeight="1">
      <c r="B9" s="169">
        <v>40</v>
      </c>
      <c r="C9" s="226">
        <v>434721</v>
      </c>
      <c r="D9" s="171">
        <v>339426</v>
      </c>
      <c r="F9" s="119"/>
      <c r="G9" s="29"/>
      <c r="H9" s="171"/>
    </row>
    <row r="10" spans="2:8" ht="10.5" customHeight="1">
      <c r="B10" s="169">
        <v>45</v>
      </c>
      <c r="C10" s="226">
        <v>527931</v>
      </c>
      <c r="D10" s="171">
        <v>418131</v>
      </c>
      <c r="F10" s="119"/>
      <c r="G10" s="29"/>
      <c r="H10" s="171"/>
    </row>
    <row r="11" spans="2:8" ht="10.5" customHeight="1">
      <c r="B11" s="169">
        <v>50</v>
      </c>
      <c r="C11" s="226">
        <v>559665</v>
      </c>
      <c r="D11" s="171">
        <v>446554</v>
      </c>
      <c r="F11" s="229" t="s">
        <v>503</v>
      </c>
      <c r="G11" s="29"/>
      <c r="H11" s="171"/>
    </row>
    <row r="12" spans="2:8" ht="10.5" customHeight="1">
      <c r="B12" s="169">
        <v>55</v>
      </c>
      <c r="C12" s="226">
        <v>563274</v>
      </c>
      <c r="D12" s="171">
        <v>442139</v>
      </c>
      <c r="F12" s="229" t="s">
        <v>504</v>
      </c>
      <c r="G12" s="29"/>
      <c r="H12" s="171"/>
    </row>
    <row r="13" spans="2:8" ht="10.5" customHeight="1">
      <c r="B13" s="169">
        <v>60</v>
      </c>
      <c r="C13" s="226">
        <v>587475</v>
      </c>
      <c r="D13" s="171">
        <v>451541</v>
      </c>
      <c r="F13" s="229" t="s">
        <v>505</v>
      </c>
      <c r="G13" s="227"/>
      <c r="H13" s="171"/>
    </row>
    <row r="14" spans="2:8" ht="10.5" customHeight="1">
      <c r="B14" s="169" t="s">
        <v>380</v>
      </c>
      <c r="C14" s="226">
        <v>614646</v>
      </c>
      <c r="D14" s="171">
        <v>461017</v>
      </c>
      <c r="F14" s="119"/>
      <c r="G14" s="29"/>
      <c r="H14" s="171"/>
    </row>
    <row r="15" spans="2:8" ht="10.5" customHeight="1">
      <c r="B15" s="169">
        <v>7</v>
      </c>
      <c r="C15" s="226">
        <v>630366</v>
      </c>
      <c r="D15" s="171">
        <v>476777</v>
      </c>
      <c r="F15" s="119"/>
      <c r="G15" s="29"/>
      <c r="H15" s="171"/>
    </row>
    <row r="16" spans="2:8" ht="10.5" customHeight="1">
      <c r="B16" s="169">
        <v>12</v>
      </c>
      <c r="C16" s="226">
        <v>654150</v>
      </c>
      <c r="D16" s="171">
        <v>507286</v>
      </c>
      <c r="F16" s="119"/>
      <c r="G16" s="29"/>
      <c r="H16" s="171"/>
    </row>
    <row r="17" spans="2:7" ht="10.5" customHeight="1">
      <c r="B17" s="169">
        <v>17</v>
      </c>
      <c r="C17" s="226">
        <v>643687</v>
      </c>
      <c r="D17" s="171">
        <v>530628</v>
      </c>
      <c r="F17" s="119"/>
      <c r="G17" s="119"/>
    </row>
    <row r="18" spans="6:7" ht="10.5" customHeight="1">
      <c r="F18" s="119"/>
      <c r="G18" s="119"/>
    </row>
    <row r="19" spans="6:7" ht="10.5" customHeight="1">
      <c r="F19" s="119"/>
      <c r="G19" s="119"/>
    </row>
    <row r="20" spans="6:7" ht="10.5" customHeight="1">
      <c r="F20" s="119"/>
      <c r="G20" s="119"/>
    </row>
    <row r="21" spans="6:7" ht="10.5" customHeight="1">
      <c r="F21" s="119"/>
      <c r="G21" s="119"/>
    </row>
    <row r="22" spans="6:7" ht="10.5" customHeight="1">
      <c r="F22" s="119"/>
      <c r="G22" s="119"/>
    </row>
    <row r="23" spans="6:7" ht="10.5" customHeight="1">
      <c r="F23" s="119"/>
      <c r="G23" s="119"/>
    </row>
    <row r="24" spans="6:7" ht="10.5" customHeight="1">
      <c r="F24" s="119"/>
      <c r="G24" s="119"/>
    </row>
    <row r="25" spans="6:7" ht="10.5" customHeight="1">
      <c r="F25" s="119"/>
      <c r="G25" s="119"/>
    </row>
    <row r="26" spans="6:7" ht="10.5" customHeight="1">
      <c r="F26" s="119"/>
      <c r="G26" s="119"/>
    </row>
    <row r="27" spans="6:7" ht="10.5" customHeight="1">
      <c r="F27" s="119"/>
      <c r="G27" s="119"/>
    </row>
    <row r="28" spans="6:7" ht="10.5" customHeight="1">
      <c r="F28" s="119"/>
      <c r="G28" s="119"/>
    </row>
    <row r="29" spans="6:7" ht="10.5" customHeight="1">
      <c r="F29" s="119"/>
      <c r="G29" s="119"/>
    </row>
    <row r="30" spans="5:7" ht="10.5" customHeight="1">
      <c r="E30"/>
      <c r="F30"/>
      <c r="G30" s="119"/>
    </row>
    <row r="31" spans="5:7" ht="10.5" customHeight="1">
      <c r="E31"/>
      <c r="F31"/>
      <c r="G31" s="119"/>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D26"/>
  <sheetViews>
    <sheetView zoomScalePageLayoutView="0" workbookViewId="0" topLeftCell="A1">
      <selection activeCell="A1" sqref="A1"/>
    </sheetView>
  </sheetViews>
  <sheetFormatPr defaultColWidth="9.00390625" defaultRowHeight="13.5"/>
  <cols>
    <col min="1" max="16384" width="9.00390625" style="168" customWidth="1"/>
  </cols>
  <sheetData>
    <row r="2" spans="1:4" ht="13.5">
      <c r="A2" s="169"/>
      <c r="B2" s="169" t="s">
        <v>167</v>
      </c>
      <c r="C2" s="169" t="s">
        <v>169</v>
      </c>
      <c r="D2" s="169" t="s">
        <v>172</v>
      </c>
    </row>
    <row r="3" spans="1:4" ht="13.5">
      <c r="A3" s="169" t="s">
        <v>382</v>
      </c>
      <c r="B3" s="204">
        <v>15074</v>
      </c>
      <c r="C3" s="204">
        <v>46426</v>
      </c>
      <c r="D3" s="203">
        <v>139388</v>
      </c>
    </row>
    <row r="4" spans="1:4" ht="13.5">
      <c r="A4" s="169">
        <v>35</v>
      </c>
      <c r="B4" s="204">
        <v>25198</v>
      </c>
      <c r="C4" s="204">
        <v>91059</v>
      </c>
      <c r="D4" s="203">
        <v>214569</v>
      </c>
    </row>
    <row r="5" spans="1:4" ht="13.5">
      <c r="A5" s="169">
        <v>40</v>
      </c>
      <c r="B5" s="204">
        <v>46161</v>
      </c>
      <c r="C5" s="204">
        <v>141456</v>
      </c>
      <c r="D5" s="203">
        <v>293365</v>
      </c>
    </row>
    <row r="6" spans="1:4" ht="13.5">
      <c r="A6" s="168">
        <v>45</v>
      </c>
      <c r="B6" s="204">
        <v>61711</v>
      </c>
      <c r="C6" s="204">
        <v>171511</v>
      </c>
      <c r="D6" s="203">
        <v>356420</v>
      </c>
    </row>
    <row r="7" spans="1:4" ht="13.5">
      <c r="A7" s="169">
        <v>50</v>
      </c>
      <c r="B7" s="204">
        <v>70271</v>
      </c>
      <c r="C7" s="204">
        <v>183382</v>
      </c>
      <c r="D7" s="203">
        <v>376283</v>
      </c>
    </row>
    <row r="8" spans="1:4" ht="13.5">
      <c r="A8" s="169">
        <v>55</v>
      </c>
      <c r="B8" s="204">
        <v>75721</v>
      </c>
      <c r="C8" s="204">
        <v>196856</v>
      </c>
      <c r="D8" s="203">
        <v>442139</v>
      </c>
    </row>
    <row r="9" spans="1:4" ht="13.5">
      <c r="A9" s="169">
        <v>60</v>
      </c>
      <c r="B9" s="204">
        <v>80788</v>
      </c>
      <c r="C9" s="204">
        <v>216722</v>
      </c>
      <c r="D9" s="203">
        <v>370753</v>
      </c>
    </row>
    <row r="10" spans="1:4" ht="13.5">
      <c r="A10" s="169" t="s">
        <v>380</v>
      </c>
      <c r="B10" s="204">
        <v>88310</v>
      </c>
      <c r="C10" s="204">
        <v>241939</v>
      </c>
      <c r="D10" s="203">
        <v>372707</v>
      </c>
    </row>
    <row r="11" spans="1:4" ht="13.5">
      <c r="A11" s="169">
        <v>7</v>
      </c>
      <c r="B11" s="204">
        <v>90779</v>
      </c>
      <c r="C11" s="204">
        <v>244368</v>
      </c>
      <c r="D11" s="203">
        <v>385998</v>
      </c>
    </row>
    <row r="12" spans="1:4" ht="13.5">
      <c r="A12" s="169">
        <v>12</v>
      </c>
      <c r="B12" s="204">
        <v>85656</v>
      </c>
      <c r="C12" s="204">
        <v>232520</v>
      </c>
      <c r="D12" s="68">
        <v>421630</v>
      </c>
    </row>
    <row r="13" spans="1:4" ht="13.5">
      <c r="A13" s="169">
        <v>17</v>
      </c>
      <c r="B13" s="204">
        <v>83285</v>
      </c>
      <c r="C13" s="204">
        <v>196344</v>
      </c>
      <c r="D13" s="68">
        <v>447343</v>
      </c>
    </row>
    <row r="15" ht="13.5">
      <c r="B15" s="169" t="s">
        <v>172</v>
      </c>
    </row>
    <row r="16" spans="1:2" ht="13.5">
      <c r="A16" s="169" t="s">
        <v>382</v>
      </c>
      <c r="B16" s="203">
        <v>139388</v>
      </c>
    </row>
    <row r="17" spans="1:2" ht="13.5">
      <c r="A17" s="169">
        <v>35</v>
      </c>
      <c r="B17" s="203">
        <v>214569</v>
      </c>
    </row>
    <row r="18" spans="1:2" ht="13.5">
      <c r="A18" s="169">
        <v>40</v>
      </c>
      <c r="B18" s="203">
        <v>293265</v>
      </c>
    </row>
    <row r="19" spans="1:2" ht="13.5">
      <c r="A19" s="169">
        <v>45</v>
      </c>
      <c r="B19" s="203">
        <v>356420</v>
      </c>
    </row>
    <row r="20" spans="1:2" ht="13.5">
      <c r="A20" s="169">
        <v>50</v>
      </c>
      <c r="B20" s="203">
        <v>376283</v>
      </c>
    </row>
    <row r="21" spans="1:2" ht="13.5">
      <c r="A21" s="169">
        <v>55</v>
      </c>
      <c r="B21" s="203">
        <v>366418</v>
      </c>
    </row>
    <row r="22" spans="1:2" ht="13.5">
      <c r="A22" s="169">
        <v>60</v>
      </c>
      <c r="B22" s="203">
        <v>370753</v>
      </c>
    </row>
    <row r="23" spans="1:2" ht="13.5">
      <c r="A23" s="169" t="s">
        <v>380</v>
      </c>
      <c r="B23" s="203">
        <v>372707</v>
      </c>
    </row>
    <row r="24" spans="1:2" ht="13.5">
      <c r="A24" s="169">
        <v>7</v>
      </c>
      <c r="B24" s="203">
        <v>385998</v>
      </c>
    </row>
    <row r="25" spans="1:2" ht="13.5">
      <c r="A25" s="169">
        <v>12</v>
      </c>
      <c r="B25" s="68">
        <v>421630</v>
      </c>
    </row>
    <row r="26" spans="1:2" ht="13.5">
      <c r="A26" s="169">
        <v>17</v>
      </c>
      <c r="B26" s="68">
        <v>447343</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H61"/>
  <sheetViews>
    <sheetView zoomScalePageLayoutView="0" workbookViewId="0" topLeftCell="A35">
      <selection activeCell="A35" sqref="A35"/>
    </sheetView>
  </sheetViews>
  <sheetFormatPr defaultColWidth="9.00390625" defaultRowHeight="13.5"/>
  <cols>
    <col min="1" max="1" width="9.00390625" style="168" customWidth="1"/>
    <col min="2" max="2" width="23.875" style="168" bestFit="1" customWidth="1"/>
    <col min="3" max="3" width="9.875" style="168" bestFit="1" customWidth="1"/>
    <col min="4" max="4" width="9.125" style="168" bestFit="1" customWidth="1"/>
    <col min="5" max="5" width="11.625" style="168" bestFit="1" customWidth="1"/>
    <col min="6" max="6" width="9.875" style="168" bestFit="1" customWidth="1"/>
    <col min="7" max="7" width="11.625" style="168" bestFit="1" customWidth="1"/>
    <col min="8" max="9" width="9.00390625" style="168" customWidth="1"/>
    <col min="10" max="10" width="28.875" style="168" bestFit="1" customWidth="1"/>
    <col min="11" max="29" width="1.25" style="168" customWidth="1"/>
    <col min="30" max="30" width="8.25390625" style="168" customWidth="1"/>
    <col min="31" max="31" width="6.75390625" style="168" bestFit="1" customWidth="1"/>
    <col min="32" max="34" width="9.00390625" style="168" bestFit="1" customWidth="1"/>
    <col min="35" max="16384" width="9.00390625" style="168" customWidth="1"/>
  </cols>
  <sheetData>
    <row r="1" spans="10:34" ht="13.5">
      <c r="J1" s="27"/>
      <c r="K1" s="444" t="s">
        <v>181</v>
      </c>
      <c r="L1" s="444"/>
      <c r="M1" s="444"/>
      <c r="N1" s="444"/>
      <c r="O1" s="444"/>
      <c r="P1" s="444"/>
      <c r="Q1" s="444"/>
      <c r="R1" s="444"/>
      <c r="S1" s="444"/>
      <c r="T1" s="444"/>
      <c r="U1" s="444"/>
      <c r="V1" s="444"/>
      <c r="W1" s="444"/>
      <c r="X1" s="444"/>
      <c r="Y1" s="444"/>
      <c r="Z1" s="444"/>
      <c r="AA1" s="444"/>
      <c r="AB1" s="444"/>
      <c r="AC1" s="150"/>
      <c r="AD1" s="233">
        <f>SUM(AD4,AD9,AD14,AD33)</f>
        <v>178289</v>
      </c>
      <c r="AE1" s="234">
        <f>SUM(AE4,AE9,AE14,AE33)</f>
        <v>71629</v>
      </c>
      <c r="AF1" s="234">
        <f>SUM(AF4,AF9,AF14,AF33)</f>
        <v>167532</v>
      </c>
      <c r="AG1" s="235">
        <f>SUM(AG4,AG9,AG14,AG33)</f>
        <v>95903</v>
      </c>
      <c r="AH1" s="234">
        <f>SUM(AH4,AH9,AH14,AH33)</f>
        <v>274192</v>
      </c>
    </row>
    <row r="2" spans="1:34" s="27" customFormat="1" ht="18" customHeight="1">
      <c r="A2" s="447"/>
      <c r="B2" s="447"/>
      <c r="C2" s="448" t="s">
        <v>219</v>
      </c>
      <c r="D2" s="459" t="s">
        <v>259</v>
      </c>
      <c r="E2" s="459" t="s">
        <v>260</v>
      </c>
      <c r="F2" s="611" t="s">
        <v>358</v>
      </c>
      <c r="G2" s="613" t="s">
        <v>359</v>
      </c>
      <c r="K2" s="42"/>
      <c r="L2" s="42"/>
      <c r="M2" s="42"/>
      <c r="N2" s="42"/>
      <c r="O2" s="42"/>
      <c r="P2" s="42"/>
      <c r="Q2" s="42"/>
      <c r="R2" s="42"/>
      <c r="S2" s="42"/>
      <c r="T2" s="42"/>
      <c r="U2" s="42"/>
      <c r="V2" s="42"/>
      <c r="W2" s="42"/>
      <c r="X2" s="42"/>
      <c r="Y2" s="42"/>
      <c r="Z2" s="42"/>
      <c r="AA2" s="42"/>
      <c r="AB2" s="42"/>
      <c r="AC2" s="150"/>
      <c r="AD2" s="136"/>
      <c r="AE2" s="136"/>
      <c r="AF2" s="136"/>
      <c r="AG2" s="137"/>
      <c r="AH2" s="136"/>
    </row>
    <row r="3" spans="1:34" s="27" customFormat="1" ht="18" customHeight="1">
      <c r="A3" s="471"/>
      <c r="B3" s="471"/>
      <c r="C3" s="462"/>
      <c r="D3" s="463"/>
      <c r="E3" s="463"/>
      <c r="F3" s="612"/>
      <c r="G3" s="614"/>
      <c r="K3" s="39"/>
      <c r="L3" s="39"/>
      <c r="M3" s="39"/>
      <c r="N3" s="39"/>
      <c r="O3" s="39"/>
      <c r="P3" s="39"/>
      <c r="Q3" s="39"/>
      <c r="R3" s="39"/>
      <c r="S3" s="39"/>
      <c r="T3" s="39"/>
      <c r="U3" s="39"/>
      <c r="V3" s="39"/>
      <c r="W3" s="39"/>
      <c r="X3" s="39"/>
      <c r="Y3" s="39"/>
      <c r="Z3" s="39"/>
      <c r="AA3" s="39"/>
      <c r="AB3" s="39"/>
      <c r="AC3" s="149"/>
      <c r="AD3" s="54"/>
      <c r="AE3" s="54"/>
      <c r="AF3" s="54"/>
      <c r="AG3" s="94"/>
      <c r="AH3" s="54"/>
    </row>
    <row r="4" spans="1:34" s="27" customFormat="1" ht="12.75" customHeight="1">
      <c r="A4" s="39"/>
      <c r="B4" s="39"/>
      <c r="K4" s="444" t="s">
        <v>261</v>
      </c>
      <c r="L4" s="444"/>
      <c r="M4" s="444"/>
      <c r="N4" s="444"/>
      <c r="O4" s="444"/>
      <c r="P4" s="444"/>
      <c r="Q4" s="444"/>
      <c r="R4" s="444"/>
      <c r="S4" s="444"/>
      <c r="T4" s="444"/>
      <c r="U4" s="444"/>
      <c r="V4" s="444"/>
      <c r="W4" s="444"/>
      <c r="X4" s="444"/>
      <c r="Y4" s="444"/>
      <c r="Z4" s="444"/>
      <c r="AA4" s="444"/>
      <c r="AB4" s="444"/>
      <c r="AC4" s="150"/>
      <c r="AD4" s="233">
        <f>SUM(AD5:AD7)</f>
        <v>1361</v>
      </c>
      <c r="AE4" s="234">
        <f>SUM(AE5:AE7)</f>
        <v>107</v>
      </c>
      <c r="AF4" s="234">
        <f>SUM(AF5:AF7)</f>
        <v>112</v>
      </c>
      <c r="AG4" s="235">
        <f>SUM(AG5:AG7)</f>
        <v>5</v>
      </c>
      <c r="AH4" s="234">
        <f>SUM(AH5:AH7)</f>
        <v>1366</v>
      </c>
    </row>
    <row r="5" spans="1:34" s="27" customFormat="1" ht="12.75" customHeight="1">
      <c r="A5" s="356" t="s">
        <v>181</v>
      </c>
      <c r="B5" s="356"/>
      <c r="C5" s="55">
        <f>SUM(C8,C13,C18,C32)</f>
        <v>178289</v>
      </c>
      <c r="D5" s="55">
        <f>SUM(D8,D13,D18,D32)</f>
        <v>71629</v>
      </c>
      <c r="E5" s="55">
        <f>SUM(E8,E13,E18,E32)</f>
        <v>167532</v>
      </c>
      <c r="F5" s="95">
        <f>SUM(F8,F13,F18,F32)</f>
        <v>95903</v>
      </c>
      <c r="G5" s="55">
        <f>SUM(G8,G13,G18,G32)</f>
        <v>274192</v>
      </c>
      <c r="J5" s="27" t="s">
        <v>270</v>
      </c>
      <c r="K5" s="39"/>
      <c r="L5" s="39"/>
      <c r="M5" s="356" t="s">
        <v>262</v>
      </c>
      <c r="N5" s="356"/>
      <c r="O5" s="356"/>
      <c r="P5" s="356"/>
      <c r="Q5" s="356"/>
      <c r="R5" s="356"/>
      <c r="S5" s="356"/>
      <c r="T5" s="356"/>
      <c r="U5" s="356"/>
      <c r="V5" s="356"/>
      <c r="W5" s="356"/>
      <c r="X5" s="356"/>
      <c r="Y5" s="356"/>
      <c r="Z5" s="356"/>
      <c r="AA5" s="356"/>
      <c r="AB5" s="356"/>
      <c r="AC5" s="149"/>
      <c r="AD5" s="230">
        <v>1360</v>
      </c>
      <c r="AE5" s="231">
        <v>107</v>
      </c>
      <c r="AF5" s="231">
        <v>103</v>
      </c>
      <c r="AG5" s="232">
        <v>-4</v>
      </c>
      <c r="AH5" s="231">
        <v>1356</v>
      </c>
    </row>
    <row r="6" spans="1:34" s="27" customFormat="1" ht="12.75" customHeight="1">
      <c r="A6" s="39"/>
      <c r="B6" s="39"/>
      <c r="C6" s="55"/>
      <c r="D6" s="55"/>
      <c r="E6" s="55"/>
      <c r="F6" s="95"/>
      <c r="G6" s="55"/>
      <c r="J6" s="27" t="s">
        <v>542</v>
      </c>
      <c r="K6" s="39"/>
      <c r="L6" s="39"/>
      <c r="M6" s="356" t="s">
        <v>263</v>
      </c>
      <c r="N6" s="356"/>
      <c r="O6" s="356"/>
      <c r="P6" s="356"/>
      <c r="Q6" s="356"/>
      <c r="R6" s="356"/>
      <c r="S6" s="356"/>
      <c r="T6" s="356"/>
      <c r="U6" s="356"/>
      <c r="V6" s="356"/>
      <c r="W6" s="356"/>
      <c r="X6" s="356"/>
      <c r="Y6" s="356"/>
      <c r="Z6" s="356"/>
      <c r="AA6" s="356"/>
      <c r="AB6" s="356"/>
      <c r="AC6" s="149"/>
      <c r="AD6" s="230">
        <v>0</v>
      </c>
      <c r="AE6" s="231">
        <v>0</v>
      </c>
      <c r="AF6" s="231">
        <v>3</v>
      </c>
      <c r="AG6" s="232">
        <v>3</v>
      </c>
      <c r="AH6" s="231">
        <v>3</v>
      </c>
    </row>
    <row r="7" spans="1:34" s="27" customFormat="1" ht="12.75" customHeight="1">
      <c r="A7" s="39"/>
      <c r="B7" s="39"/>
      <c r="C7" s="54"/>
      <c r="D7" s="54"/>
      <c r="E7" s="54"/>
      <c r="F7" s="94"/>
      <c r="G7" s="54"/>
      <c r="J7" s="27" t="s">
        <v>543</v>
      </c>
      <c r="K7" s="39"/>
      <c r="L7" s="39"/>
      <c r="M7" s="356" t="s">
        <v>264</v>
      </c>
      <c r="N7" s="356"/>
      <c r="O7" s="356"/>
      <c r="P7" s="356"/>
      <c r="Q7" s="356"/>
      <c r="R7" s="356"/>
      <c r="S7" s="356"/>
      <c r="T7" s="356"/>
      <c r="U7" s="356"/>
      <c r="V7" s="356"/>
      <c r="W7" s="356"/>
      <c r="X7" s="356"/>
      <c r="Y7" s="356"/>
      <c r="Z7" s="356"/>
      <c r="AA7" s="356"/>
      <c r="AB7" s="356"/>
      <c r="AC7" s="149"/>
      <c r="AD7" s="230">
        <v>1</v>
      </c>
      <c r="AE7" s="231">
        <v>0</v>
      </c>
      <c r="AF7" s="231">
        <v>6</v>
      </c>
      <c r="AG7" s="232">
        <v>6</v>
      </c>
      <c r="AH7" s="231">
        <v>7</v>
      </c>
    </row>
    <row r="8" spans="1:34" s="27" customFormat="1" ht="12.75" customHeight="1">
      <c r="A8" s="29" t="s">
        <v>261</v>
      </c>
      <c r="B8" s="29"/>
      <c r="C8" s="55">
        <f>SUM(C9:C11)</f>
        <v>1361</v>
      </c>
      <c r="D8" s="55">
        <f>SUM(D9:D11)</f>
        <v>107</v>
      </c>
      <c r="E8" s="55">
        <f>SUM(E9:E11)</f>
        <v>112</v>
      </c>
      <c r="F8" s="95">
        <f>SUM(F9:F11)</f>
        <v>5</v>
      </c>
      <c r="G8" s="55">
        <f>SUM(G9:G11)</f>
        <v>1366</v>
      </c>
      <c r="J8" s="27" t="s">
        <v>545</v>
      </c>
      <c r="K8" s="39"/>
      <c r="L8" s="39"/>
      <c r="M8" s="39"/>
      <c r="N8" s="39"/>
      <c r="O8" s="39"/>
      <c r="P8" s="39"/>
      <c r="Q8" s="39"/>
      <c r="R8" s="39"/>
      <c r="S8" s="39"/>
      <c r="T8" s="39"/>
      <c r="U8" s="39"/>
      <c r="V8" s="39"/>
      <c r="W8" s="39"/>
      <c r="X8" s="39"/>
      <c r="Y8" s="39"/>
      <c r="Z8" s="39"/>
      <c r="AA8" s="39"/>
      <c r="AB8" s="39"/>
      <c r="AC8" s="149"/>
      <c r="AD8" s="54"/>
      <c r="AE8" s="54"/>
      <c r="AF8" s="54"/>
      <c r="AG8" s="94"/>
      <c r="AH8" s="54"/>
    </row>
    <row r="9" spans="1:34" s="27" customFormat="1" ht="12.75" customHeight="1">
      <c r="A9" s="39"/>
      <c r="B9" s="39" t="s">
        <v>262</v>
      </c>
      <c r="C9" s="54">
        <v>1360</v>
      </c>
      <c r="D9" s="54">
        <v>107</v>
      </c>
      <c r="E9" s="54">
        <v>103</v>
      </c>
      <c r="F9" s="94">
        <v>-4</v>
      </c>
      <c r="G9" s="54">
        <v>1356</v>
      </c>
      <c r="J9" s="27" t="s">
        <v>271</v>
      </c>
      <c r="K9" s="444" t="s">
        <v>265</v>
      </c>
      <c r="L9" s="444"/>
      <c r="M9" s="444"/>
      <c r="N9" s="444"/>
      <c r="O9" s="444"/>
      <c r="P9" s="444"/>
      <c r="Q9" s="444"/>
      <c r="R9" s="444"/>
      <c r="S9" s="444"/>
      <c r="T9" s="444"/>
      <c r="U9" s="444"/>
      <c r="V9" s="444"/>
      <c r="W9" s="444"/>
      <c r="X9" s="444"/>
      <c r="Y9" s="444"/>
      <c r="Z9" s="444"/>
      <c r="AA9" s="444"/>
      <c r="AB9" s="444"/>
      <c r="AC9" s="151"/>
      <c r="AD9" s="233">
        <f>SUM(AD10:AD12)</f>
        <v>33272</v>
      </c>
      <c r="AE9" s="234">
        <f>SUM(AE10:AE12)</f>
        <v>14338</v>
      </c>
      <c r="AF9" s="234">
        <f>SUM(AF10:AF12)</f>
        <v>28032</v>
      </c>
      <c r="AG9" s="235">
        <f>SUM(AG10:AG12)</f>
        <v>13694</v>
      </c>
      <c r="AH9" s="234">
        <f>SUM(AH10:AH12)</f>
        <v>46966</v>
      </c>
    </row>
    <row r="10" spans="1:34" s="27" customFormat="1" ht="12.75" customHeight="1">
      <c r="A10" s="39"/>
      <c r="B10" s="39" t="s">
        <v>263</v>
      </c>
      <c r="C10" s="54">
        <v>0</v>
      </c>
      <c r="D10" s="54">
        <v>0</v>
      </c>
      <c r="E10" s="54">
        <v>3</v>
      </c>
      <c r="F10" s="94">
        <v>3</v>
      </c>
      <c r="G10" s="54">
        <v>3</v>
      </c>
      <c r="J10" s="27" t="s">
        <v>272</v>
      </c>
      <c r="K10" s="39"/>
      <c r="L10" s="39"/>
      <c r="M10" s="356" t="s">
        <v>266</v>
      </c>
      <c r="N10" s="356"/>
      <c r="O10" s="356"/>
      <c r="P10" s="356"/>
      <c r="Q10" s="356"/>
      <c r="R10" s="356"/>
      <c r="S10" s="356"/>
      <c r="T10" s="356"/>
      <c r="U10" s="356"/>
      <c r="V10" s="356"/>
      <c r="W10" s="356"/>
      <c r="X10" s="356"/>
      <c r="Y10" s="356"/>
      <c r="Z10" s="356"/>
      <c r="AA10" s="356"/>
      <c r="AB10" s="356"/>
      <c r="AC10" s="149"/>
      <c r="AD10" s="230">
        <v>7</v>
      </c>
      <c r="AE10" s="231">
        <v>1</v>
      </c>
      <c r="AF10" s="231">
        <v>33</v>
      </c>
      <c r="AG10" s="232">
        <v>32</v>
      </c>
      <c r="AH10" s="231">
        <v>39</v>
      </c>
    </row>
    <row r="11" spans="1:34" s="27" customFormat="1" ht="12.75" customHeight="1">
      <c r="A11" s="39"/>
      <c r="B11" s="39" t="s">
        <v>264</v>
      </c>
      <c r="C11" s="54">
        <v>1</v>
      </c>
      <c r="D11" s="54">
        <v>0</v>
      </c>
      <c r="E11" s="54">
        <v>6</v>
      </c>
      <c r="F11" s="94">
        <v>6</v>
      </c>
      <c r="G11" s="54">
        <v>7</v>
      </c>
      <c r="J11" s="27" t="s">
        <v>533</v>
      </c>
      <c r="K11" s="39"/>
      <c r="L11" s="39"/>
      <c r="M11" s="356" t="s">
        <v>267</v>
      </c>
      <c r="N11" s="356"/>
      <c r="O11" s="356"/>
      <c r="P11" s="356"/>
      <c r="Q11" s="356"/>
      <c r="R11" s="356"/>
      <c r="S11" s="356"/>
      <c r="T11" s="356"/>
      <c r="U11" s="356"/>
      <c r="V11" s="356"/>
      <c r="W11" s="356"/>
      <c r="X11" s="356"/>
      <c r="Y11" s="356"/>
      <c r="Z11" s="356"/>
      <c r="AA11" s="356"/>
      <c r="AB11" s="356"/>
      <c r="AC11" s="149"/>
      <c r="AD11" s="230">
        <v>21941</v>
      </c>
      <c r="AE11" s="231">
        <v>9487</v>
      </c>
      <c r="AF11" s="231">
        <v>10030</v>
      </c>
      <c r="AG11" s="232">
        <v>543</v>
      </c>
      <c r="AH11" s="231">
        <v>22484</v>
      </c>
    </row>
    <row r="12" spans="1:34" s="27" customFormat="1" ht="12.75" customHeight="1">
      <c r="A12" s="39"/>
      <c r="B12" s="39"/>
      <c r="C12" s="54"/>
      <c r="D12" s="54"/>
      <c r="E12" s="54"/>
      <c r="F12" s="94"/>
      <c r="G12" s="54"/>
      <c r="J12" s="27" t="s">
        <v>535</v>
      </c>
      <c r="K12" s="39"/>
      <c r="L12" s="39"/>
      <c r="M12" s="356" t="s">
        <v>268</v>
      </c>
      <c r="N12" s="356"/>
      <c r="O12" s="356"/>
      <c r="P12" s="356"/>
      <c r="Q12" s="356"/>
      <c r="R12" s="356"/>
      <c r="S12" s="356"/>
      <c r="T12" s="356"/>
      <c r="U12" s="356"/>
      <c r="V12" s="356"/>
      <c r="W12" s="356"/>
      <c r="X12" s="356"/>
      <c r="Y12" s="356"/>
      <c r="Z12" s="356"/>
      <c r="AA12" s="356"/>
      <c r="AB12" s="356"/>
      <c r="AC12" s="149"/>
      <c r="AD12" s="230">
        <v>11324</v>
      </c>
      <c r="AE12" s="231">
        <v>4850</v>
      </c>
      <c r="AF12" s="231">
        <v>17969</v>
      </c>
      <c r="AG12" s="232">
        <v>13119</v>
      </c>
      <c r="AH12" s="231">
        <v>24443</v>
      </c>
    </row>
    <row r="13" spans="1:34" s="27" customFormat="1" ht="12.75" customHeight="1">
      <c r="A13" s="29" t="s">
        <v>265</v>
      </c>
      <c r="B13" s="29"/>
      <c r="C13" s="55">
        <f>SUM(C14:C16)</f>
        <v>33272</v>
      </c>
      <c r="D13" s="55">
        <f>SUM(D14:D16)</f>
        <v>14338</v>
      </c>
      <c r="E13" s="55">
        <f>SUM(E14:E16)</f>
        <v>28032</v>
      </c>
      <c r="F13" s="95">
        <f>SUM(F14:F16)</f>
        <v>13694</v>
      </c>
      <c r="G13" s="55">
        <f>SUM(G14:G16)</f>
        <v>46966</v>
      </c>
      <c r="J13" s="27" t="s">
        <v>537</v>
      </c>
      <c r="K13" s="39"/>
      <c r="L13" s="39"/>
      <c r="M13" s="39"/>
      <c r="N13" s="39"/>
      <c r="O13" s="39"/>
      <c r="P13" s="39"/>
      <c r="Q13" s="39"/>
      <c r="R13" s="39"/>
      <c r="S13" s="39"/>
      <c r="T13" s="39"/>
      <c r="U13" s="39"/>
      <c r="V13" s="39"/>
      <c r="W13" s="39"/>
      <c r="X13" s="39"/>
      <c r="Y13" s="39"/>
      <c r="Z13" s="39"/>
      <c r="AA13" s="39"/>
      <c r="AB13" s="39"/>
      <c r="AC13" s="149"/>
      <c r="AD13" s="54"/>
      <c r="AE13" s="54"/>
      <c r="AF13" s="54"/>
      <c r="AG13" s="94"/>
      <c r="AH13" s="54"/>
    </row>
    <row r="14" spans="1:34" s="27" customFormat="1" ht="12.75" customHeight="1">
      <c r="A14" s="39"/>
      <c r="B14" s="39" t="s">
        <v>266</v>
      </c>
      <c r="C14" s="54">
        <v>7</v>
      </c>
      <c r="D14" s="54">
        <v>1</v>
      </c>
      <c r="E14" s="54">
        <v>33</v>
      </c>
      <c r="F14" s="94">
        <v>32</v>
      </c>
      <c r="G14" s="54">
        <v>39</v>
      </c>
      <c r="J14" s="27" t="s">
        <v>539</v>
      </c>
      <c r="K14" s="444" t="s">
        <v>269</v>
      </c>
      <c r="L14" s="444"/>
      <c r="M14" s="444"/>
      <c r="N14" s="444"/>
      <c r="O14" s="444"/>
      <c r="P14" s="444"/>
      <c r="Q14" s="444"/>
      <c r="R14" s="444"/>
      <c r="S14" s="444"/>
      <c r="T14" s="444"/>
      <c r="U14" s="444"/>
      <c r="V14" s="444"/>
      <c r="W14" s="444"/>
      <c r="X14" s="444"/>
      <c r="Y14" s="444"/>
      <c r="Z14" s="444"/>
      <c r="AA14" s="444"/>
      <c r="AB14" s="444"/>
      <c r="AC14" s="151"/>
      <c r="AD14" s="233">
        <f>SUM(AD15:AD31)</f>
        <v>136346</v>
      </c>
      <c r="AE14" s="234">
        <f>SUM(AE15:AE31)</f>
        <v>56051</v>
      </c>
      <c r="AF14" s="234">
        <f>SUM(AF15:AF31)</f>
        <v>136021</v>
      </c>
      <c r="AG14" s="235">
        <f>SUM(AG15:AG31)</f>
        <v>79970</v>
      </c>
      <c r="AH14" s="234">
        <f>SUM(AH15:AH31)</f>
        <v>216316</v>
      </c>
    </row>
    <row r="15" spans="1:34" s="27" customFormat="1" ht="12.75" customHeight="1">
      <c r="A15" s="39"/>
      <c r="B15" s="39" t="s">
        <v>267</v>
      </c>
      <c r="C15" s="54">
        <v>21941</v>
      </c>
      <c r="D15" s="54">
        <v>9487</v>
      </c>
      <c r="E15" s="54">
        <v>10030</v>
      </c>
      <c r="F15" s="94">
        <v>543</v>
      </c>
      <c r="G15" s="54">
        <v>22484</v>
      </c>
      <c r="J15" s="27" t="s">
        <v>541</v>
      </c>
      <c r="K15" s="39"/>
      <c r="L15" s="39"/>
      <c r="M15" s="356" t="s">
        <v>270</v>
      </c>
      <c r="N15" s="356"/>
      <c r="O15" s="356"/>
      <c r="P15" s="356"/>
      <c r="Q15" s="356"/>
      <c r="R15" s="356"/>
      <c r="S15" s="356"/>
      <c r="T15" s="356"/>
      <c r="U15" s="356"/>
      <c r="V15" s="356"/>
      <c r="W15" s="356"/>
      <c r="X15" s="356"/>
      <c r="Y15" s="356"/>
      <c r="Z15" s="356"/>
      <c r="AA15" s="356"/>
      <c r="AB15" s="356"/>
      <c r="AC15" s="152"/>
      <c r="AD15" s="230">
        <v>598</v>
      </c>
      <c r="AE15" s="231">
        <v>488</v>
      </c>
      <c r="AF15" s="231">
        <v>777</v>
      </c>
      <c r="AG15" s="231">
        <v>289</v>
      </c>
      <c r="AH15" s="231">
        <v>887</v>
      </c>
    </row>
    <row r="16" spans="1:34" s="27" customFormat="1" ht="12.75" customHeight="1">
      <c r="A16" s="39"/>
      <c r="B16" s="39" t="s">
        <v>268</v>
      </c>
      <c r="C16" s="54">
        <v>11324</v>
      </c>
      <c r="D16" s="54">
        <v>4850</v>
      </c>
      <c r="E16" s="54">
        <v>17969</v>
      </c>
      <c r="F16" s="94">
        <v>13119</v>
      </c>
      <c r="G16" s="54">
        <v>24443</v>
      </c>
      <c r="J16" s="27" t="s">
        <v>273</v>
      </c>
      <c r="K16" s="39"/>
      <c r="L16" s="39"/>
      <c r="M16" s="356" t="s">
        <v>542</v>
      </c>
      <c r="N16" s="356"/>
      <c r="O16" s="356"/>
      <c r="P16" s="356"/>
      <c r="Q16" s="356"/>
      <c r="R16" s="356"/>
      <c r="S16" s="356"/>
      <c r="T16" s="356"/>
      <c r="U16" s="356"/>
      <c r="V16" s="356"/>
      <c r="W16" s="356"/>
      <c r="X16" s="356"/>
      <c r="Y16" s="356"/>
      <c r="Z16" s="356"/>
      <c r="AA16" s="356"/>
      <c r="AB16" s="356"/>
      <c r="AC16" s="152"/>
      <c r="AD16" s="230">
        <v>5166</v>
      </c>
      <c r="AE16" s="231">
        <v>2579</v>
      </c>
      <c r="AF16" s="231">
        <v>17715</v>
      </c>
      <c r="AG16" s="231">
        <v>15136</v>
      </c>
      <c r="AH16" s="231">
        <v>20302</v>
      </c>
    </row>
    <row r="17" spans="1:34" s="27" customFormat="1" ht="12.75" customHeight="1">
      <c r="A17" s="39"/>
      <c r="B17" s="39"/>
      <c r="C17" s="54"/>
      <c r="D17" s="54"/>
      <c r="E17" s="54"/>
      <c r="F17" s="94"/>
      <c r="G17" s="54"/>
      <c r="K17" s="39"/>
      <c r="L17" s="39"/>
      <c r="M17" s="356" t="s">
        <v>544</v>
      </c>
      <c r="N17" s="356"/>
      <c r="O17" s="356"/>
      <c r="P17" s="356"/>
      <c r="Q17" s="356"/>
      <c r="R17" s="356"/>
      <c r="S17" s="356"/>
      <c r="T17" s="356"/>
      <c r="U17" s="356"/>
      <c r="V17" s="356"/>
      <c r="W17" s="356"/>
      <c r="X17" s="356"/>
      <c r="Y17" s="356"/>
      <c r="Z17" s="356"/>
      <c r="AA17" s="356"/>
      <c r="AB17" s="356"/>
      <c r="AC17" s="152"/>
      <c r="AD17" s="230">
        <v>11404</v>
      </c>
      <c r="AE17" s="231">
        <v>5542</v>
      </c>
      <c r="AF17" s="231">
        <v>6327</v>
      </c>
      <c r="AG17" s="231">
        <v>785</v>
      </c>
      <c r="AH17" s="231">
        <v>12189</v>
      </c>
    </row>
    <row r="18" spans="1:34" s="27" customFormat="1" ht="12.75" customHeight="1">
      <c r="A18" s="29" t="s">
        <v>269</v>
      </c>
      <c r="B18" s="29"/>
      <c r="C18" s="55">
        <f>SUM(C19:C30)</f>
        <v>136346</v>
      </c>
      <c r="D18" s="55">
        <f>SUM(D19:D30)</f>
        <v>56051</v>
      </c>
      <c r="E18" s="55">
        <f>SUM(E19:E30)</f>
        <v>136021</v>
      </c>
      <c r="F18" s="95">
        <f>SUM(F19:F30)</f>
        <v>79970</v>
      </c>
      <c r="G18" s="55">
        <f>SUM(G19:G30)</f>
        <v>216316</v>
      </c>
      <c r="J18" s="168"/>
      <c r="K18" s="39"/>
      <c r="L18" s="39"/>
      <c r="M18" s="356" t="s">
        <v>545</v>
      </c>
      <c r="N18" s="356"/>
      <c r="O18" s="356"/>
      <c r="P18" s="356"/>
      <c r="Q18" s="356"/>
      <c r="R18" s="356"/>
      <c r="S18" s="356"/>
      <c r="T18" s="356"/>
      <c r="U18" s="356"/>
      <c r="V18" s="356"/>
      <c r="W18" s="356"/>
      <c r="X18" s="356"/>
      <c r="Y18" s="356"/>
      <c r="Z18" s="356"/>
      <c r="AA18" s="356"/>
      <c r="AB18" s="356"/>
      <c r="AC18" s="152"/>
      <c r="AD18" s="230">
        <v>33372</v>
      </c>
      <c r="AE18" s="231">
        <v>12528</v>
      </c>
      <c r="AF18" s="231">
        <v>28395</v>
      </c>
      <c r="AG18" s="231">
        <v>15867</v>
      </c>
      <c r="AH18" s="231">
        <v>49239</v>
      </c>
    </row>
    <row r="19" spans="1:34" s="27" customFormat="1" ht="12.75" customHeight="1">
      <c r="A19" s="39"/>
      <c r="B19" s="27" t="s">
        <v>270</v>
      </c>
      <c r="C19" s="54">
        <v>598</v>
      </c>
      <c r="D19" s="54">
        <v>488</v>
      </c>
      <c r="E19" s="54">
        <v>777</v>
      </c>
      <c r="F19" s="94">
        <v>289</v>
      </c>
      <c r="G19" s="54">
        <v>887</v>
      </c>
      <c r="J19" s="168"/>
      <c r="K19" s="39"/>
      <c r="L19" s="39"/>
      <c r="M19" s="356" t="s">
        <v>271</v>
      </c>
      <c r="N19" s="356"/>
      <c r="O19" s="356"/>
      <c r="P19" s="356"/>
      <c r="Q19" s="356"/>
      <c r="R19" s="356"/>
      <c r="S19" s="356"/>
      <c r="T19" s="356"/>
      <c r="U19" s="356"/>
      <c r="V19" s="356"/>
      <c r="W19" s="356"/>
      <c r="X19" s="356"/>
      <c r="Y19" s="356"/>
      <c r="Z19" s="356"/>
      <c r="AA19" s="356"/>
      <c r="AB19" s="356"/>
      <c r="AC19" s="152"/>
      <c r="AD19" s="230">
        <v>4387</v>
      </c>
      <c r="AE19" s="231">
        <v>2556</v>
      </c>
      <c r="AF19" s="231">
        <v>10295</v>
      </c>
      <c r="AG19" s="231">
        <v>7739</v>
      </c>
      <c r="AH19" s="231">
        <v>12126</v>
      </c>
    </row>
    <row r="20" spans="1:34" s="27" customFormat="1" ht="12.75" customHeight="1">
      <c r="A20" s="39"/>
      <c r="B20" s="27" t="s">
        <v>542</v>
      </c>
      <c r="C20" s="54">
        <v>5166</v>
      </c>
      <c r="D20" s="54">
        <v>2579</v>
      </c>
      <c r="E20" s="54">
        <v>17715</v>
      </c>
      <c r="F20" s="94">
        <v>15136</v>
      </c>
      <c r="G20" s="54">
        <v>20302</v>
      </c>
      <c r="J20" s="168"/>
      <c r="K20" s="39"/>
      <c r="L20" s="39"/>
      <c r="M20" s="356" t="s">
        <v>272</v>
      </c>
      <c r="N20" s="356"/>
      <c r="O20" s="356"/>
      <c r="P20" s="356"/>
      <c r="Q20" s="356"/>
      <c r="R20" s="356"/>
      <c r="S20" s="356"/>
      <c r="T20" s="356"/>
      <c r="U20" s="356"/>
      <c r="V20" s="356"/>
      <c r="W20" s="356"/>
      <c r="X20" s="356"/>
      <c r="Y20" s="356"/>
      <c r="Z20" s="356"/>
      <c r="AA20" s="356"/>
      <c r="AB20" s="356"/>
      <c r="AC20" s="152"/>
      <c r="AD20" s="230">
        <v>6056</v>
      </c>
      <c r="AE20" s="231">
        <v>1582</v>
      </c>
      <c r="AF20" s="231">
        <v>4387</v>
      </c>
      <c r="AG20" s="231">
        <v>2805</v>
      </c>
      <c r="AH20" s="231">
        <v>8861</v>
      </c>
    </row>
    <row r="21" spans="1:34" s="27" customFormat="1" ht="12.75" customHeight="1">
      <c r="A21" s="39"/>
      <c r="B21" s="27" t="s">
        <v>543</v>
      </c>
      <c r="C21" s="54">
        <v>11404</v>
      </c>
      <c r="D21" s="54">
        <v>5542</v>
      </c>
      <c r="E21" s="54">
        <v>6327</v>
      </c>
      <c r="F21" s="94">
        <v>785</v>
      </c>
      <c r="G21" s="54">
        <v>12189</v>
      </c>
      <c r="J21" s="168"/>
      <c r="K21" s="39"/>
      <c r="L21" s="39"/>
      <c r="M21" s="356" t="s">
        <v>534</v>
      </c>
      <c r="N21" s="356"/>
      <c r="O21" s="356"/>
      <c r="P21" s="356"/>
      <c r="Q21" s="356"/>
      <c r="R21" s="356"/>
      <c r="S21" s="356"/>
      <c r="T21" s="356"/>
      <c r="U21" s="356"/>
      <c r="V21" s="356"/>
      <c r="W21" s="356"/>
      <c r="X21" s="356"/>
      <c r="Y21" s="356"/>
      <c r="Z21" s="356"/>
      <c r="AA21" s="356"/>
      <c r="AB21" s="356"/>
      <c r="AC21" s="152"/>
      <c r="AD21" s="230">
        <v>8388</v>
      </c>
      <c r="AE21" s="231">
        <v>2263</v>
      </c>
      <c r="AF21" s="231">
        <v>7516</v>
      </c>
      <c r="AG21" s="231">
        <v>5253</v>
      </c>
      <c r="AH21" s="231">
        <v>13641</v>
      </c>
    </row>
    <row r="22" spans="1:34" s="27" customFormat="1" ht="12.75" customHeight="1">
      <c r="A22" s="39"/>
      <c r="B22" s="27" t="s">
        <v>545</v>
      </c>
      <c r="C22" s="54">
        <v>33372</v>
      </c>
      <c r="D22" s="54">
        <v>12528</v>
      </c>
      <c r="E22" s="54">
        <v>28395</v>
      </c>
      <c r="F22" s="94">
        <v>15867</v>
      </c>
      <c r="G22" s="54">
        <v>49239</v>
      </c>
      <c r="J22" s="168"/>
      <c r="K22" s="39"/>
      <c r="L22" s="39"/>
      <c r="M22" s="356" t="s">
        <v>536</v>
      </c>
      <c r="N22" s="356"/>
      <c r="O22" s="356"/>
      <c r="P22" s="356"/>
      <c r="Q22" s="356"/>
      <c r="R22" s="356"/>
      <c r="S22" s="356"/>
      <c r="T22" s="356"/>
      <c r="U22" s="356"/>
      <c r="V22" s="356"/>
      <c r="W22" s="356"/>
      <c r="X22" s="356"/>
      <c r="Y22" s="356"/>
      <c r="Z22" s="356"/>
      <c r="AA22" s="356"/>
      <c r="AB22" s="356"/>
      <c r="AC22" s="152"/>
      <c r="AD22" s="230">
        <v>18354</v>
      </c>
      <c r="AE22" s="231">
        <v>7342</v>
      </c>
      <c r="AF22" s="231">
        <v>10568</v>
      </c>
      <c r="AG22" s="231">
        <v>3226</v>
      </c>
      <c r="AH22" s="231">
        <v>21580</v>
      </c>
    </row>
    <row r="23" spans="1:34" s="27" customFormat="1" ht="12.75" customHeight="1">
      <c r="A23" s="39"/>
      <c r="B23" s="27" t="s">
        <v>271</v>
      </c>
      <c r="C23" s="54">
        <v>4387</v>
      </c>
      <c r="D23" s="54">
        <v>2556</v>
      </c>
      <c r="E23" s="54">
        <v>10295</v>
      </c>
      <c r="F23" s="94">
        <v>7739</v>
      </c>
      <c r="G23" s="54">
        <v>12126</v>
      </c>
      <c r="J23" s="168"/>
      <c r="K23" s="39"/>
      <c r="L23" s="39"/>
      <c r="M23" s="356" t="s">
        <v>538</v>
      </c>
      <c r="N23" s="356"/>
      <c r="O23" s="356"/>
      <c r="P23" s="356"/>
      <c r="Q23" s="356"/>
      <c r="R23" s="356"/>
      <c r="S23" s="356"/>
      <c r="T23" s="356"/>
      <c r="U23" s="356"/>
      <c r="V23" s="356"/>
      <c r="W23" s="356"/>
      <c r="X23" s="356"/>
      <c r="Y23" s="356"/>
      <c r="Z23" s="356"/>
      <c r="AA23" s="356"/>
      <c r="AB23" s="356"/>
      <c r="AC23" s="152"/>
      <c r="AD23" s="230">
        <v>10497</v>
      </c>
      <c r="AE23" s="231">
        <v>5635</v>
      </c>
      <c r="AF23" s="231">
        <v>9664</v>
      </c>
      <c r="AG23" s="231">
        <v>4029</v>
      </c>
      <c r="AH23" s="231">
        <v>14526</v>
      </c>
    </row>
    <row r="24" spans="1:34" s="27" customFormat="1" ht="12.75" customHeight="1">
      <c r="A24" s="39"/>
      <c r="B24" s="27" t="s">
        <v>272</v>
      </c>
      <c r="C24" s="54">
        <v>6056</v>
      </c>
      <c r="D24" s="54">
        <v>1582</v>
      </c>
      <c r="E24" s="54">
        <v>4387</v>
      </c>
      <c r="F24" s="94">
        <v>2805</v>
      </c>
      <c r="G24" s="54">
        <v>8861</v>
      </c>
      <c r="J24" s="168"/>
      <c r="K24" s="39"/>
      <c r="L24" s="39"/>
      <c r="M24" s="356" t="s">
        <v>540</v>
      </c>
      <c r="N24" s="356"/>
      <c r="O24" s="356"/>
      <c r="P24" s="356"/>
      <c r="Q24" s="356"/>
      <c r="R24" s="356"/>
      <c r="S24" s="356"/>
      <c r="T24" s="356"/>
      <c r="U24" s="356"/>
      <c r="V24" s="356"/>
      <c r="W24" s="356"/>
      <c r="X24" s="356"/>
      <c r="Y24" s="356"/>
      <c r="Z24" s="356"/>
      <c r="AA24" s="356"/>
      <c r="AB24" s="356"/>
      <c r="AC24" s="152"/>
      <c r="AD24" s="230">
        <v>1672</v>
      </c>
      <c r="AE24" s="231">
        <v>863</v>
      </c>
      <c r="AF24" s="231">
        <v>923</v>
      </c>
      <c r="AG24" s="231">
        <v>60</v>
      </c>
      <c r="AH24" s="231">
        <v>1732</v>
      </c>
    </row>
    <row r="25" spans="1:34" s="27" customFormat="1" ht="12.75" customHeight="1">
      <c r="A25" s="39"/>
      <c r="B25" s="27" t="s">
        <v>533</v>
      </c>
      <c r="C25" s="54">
        <v>8388</v>
      </c>
      <c r="D25" s="54">
        <v>2263</v>
      </c>
      <c r="E25" s="54">
        <v>7516</v>
      </c>
      <c r="F25" s="94">
        <v>5253</v>
      </c>
      <c r="G25" s="54">
        <v>13641</v>
      </c>
      <c r="J25" s="168"/>
      <c r="K25" s="39"/>
      <c r="L25" s="39"/>
      <c r="M25" s="39"/>
      <c r="N25" s="39"/>
      <c r="O25" s="39"/>
      <c r="P25" s="39"/>
      <c r="Q25" s="39"/>
      <c r="R25" s="39"/>
      <c r="S25" s="39"/>
      <c r="T25" s="39"/>
      <c r="U25" s="39"/>
      <c r="V25" s="39"/>
      <c r="W25" s="39"/>
      <c r="X25" s="39"/>
      <c r="Y25" s="39"/>
      <c r="Z25" s="39"/>
      <c r="AA25" s="39"/>
      <c r="AB25" s="39"/>
      <c r="AC25" s="152"/>
      <c r="AD25" s="230"/>
      <c r="AE25" s="231"/>
      <c r="AF25" s="231"/>
      <c r="AG25" s="231"/>
      <c r="AH25" s="231"/>
    </row>
    <row r="26" spans="1:34" s="27" customFormat="1" ht="12.75" customHeight="1">
      <c r="A26" s="39"/>
      <c r="B26" s="27" t="s">
        <v>535</v>
      </c>
      <c r="C26" s="54">
        <v>18354</v>
      </c>
      <c r="D26" s="54">
        <v>7342</v>
      </c>
      <c r="E26" s="54">
        <v>10568</v>
      </c>
      <c r="F26" s="94">
        <v>3226</v>
      </c>
      <c r="G26" s="54">
        <v>21580</v>
      </c>
      <c r="J26" s="168"/>
      <c r="K26" s="39"/>
      <c r="L26" s="39"/>
      <c r="M26" s="39"/>
      <c r="N26" s="39"/>
      <c r="O26" s="39"/>
      <c r="P26" s="39"/>
      <c r="Q26" s="39"/>
      <c r="R26" s="39"/>
      <c r="S26" s="39"/>
      <c r="T26" s="39"/>
      <c r="U26" s="39"/>
      <c r="V26" s="39"/>
      <c r="W26" s="39"/>
      <c r="X26" s="39"/>
      <c r="Y26" s="39"/>
      <c r="Z26" s="39"/>
      <c r="AA26" s="39"/>
      <c r="AB26" s="39"/>
      <c r="AC26" s="152"/>
      <c r="AD26" s="230"/>
      <c r="AE26" s="231"/>
      <c r="AF26" s="231"/>
      <c r="AG26" s="231"/>
      <c r="AH26" s="231"/>
    </row>
    <row r="27" spans="1:34" s="27" customFormat="1" ht="12.75" customHeight="1">
      <c r="A27" s="39"/>
      <c r="B27" s="27" t="s">
        <v>537</v>
      </c>
      <c r="C27" s="54">
        <v>10497</v>
      </c>
      <c r="D27" s="54">
        <v>5635</v>
      </c>
      <c r="E27" s="54">
        <v>9664</v>
      </c>
      <c r="F27" s="94">
        <v>4029</v>
      </c>
      <c r="G27" s="54">
        <v>14526</v>
      </c>
      <c r="J27" s="168"/>
      <c r="K27" s="39"/>
      <c r="L27" s="39"/>
      <c r="M27" s="39"/>
      <c r="N27" s="39"/>
      <c r="O27" s="39"/>
      <c r="P27" s="39"/>
      <c r="Q27" s="39"/>
      <c r="R27" s="39"/>
      <c r="S27" s="39"/>
      <c r="T27" s="39"/>
      <c r="U27" s="39"/>
      <c r="V27" s="39"/>
      <c r="W27" s="39"/>
      <c r="X27" s="39"/>
      <c r="Y27" s="39"/>
      <c r="Z27" s="39"/>
      <c r="AA27" s="39"/>
      <c r="AB27" s="39"/>
      <c r="AC27" s="152"/>
      <c r="AD27" s="230"/>
      <c r="AE27" s="231"/>
      <c r="AF27" s="231"/>
      <c r="AG27" s="231"/>
      <c r="AH27" s="231"/>
    </row>
    <row r="28" spans="1:34" s="27" customFormat="1" ht="12.75" customHeight="1">
      <c r="A28" s="39"/>
      <c r="B28" s="27" t="s">
        <v>539</v>
      </c>
      <c r="C28" s="54">
        <v>1672</v>
      </c>
      <c r="D28" s="54">
        <v>863</v>
      </c>
      <c r="E28" s="54">
        <v>923</v>
      </c>
      <c r="F28" s="94">
        <v>60</v>
      </c>
      <c r="G28" s="54">
        <v>1732</v>
      </c>
      <c r="J28" s="168"/>
      <c r="K28" s="39"/>
      <c r="L28" s="39"/>
      <c r="M28" s="39"/>
      <c r="N28" s="39"/>
      <c r="O28" s="39"/>
      <c r="P28" s="39"/>
      <c r="Q28" s="39"/>
      <c r="R28" s="39"/>
      <c r="S28" s="39"/>
      <c r="T28" s="39"/>
      <c r="U28" s="39"/>
      <c r="V28" s="39"/>
      <c r="W28" s="39"/>
      <c r="X28" s="39"/>
      <c r="Y28" s="39"/>
      <c r="Z28" s="39"/>
      <c r="AA28" s="39"/>
      <c r="AB28" s="39"/>
      <c r="AC28" s="152"/>
      <c r="AD28" s="230"/>
      <c r="AE28" s="231"/>
      <c r="AF28" s="231"/>
      <c r="AG28" s="231"/>
      <c r="AH28" s="231"/>
    </row>
    <row r="29" spans="1:34" s="27" customFormat="1" ht="12.75" customHeight="1">
      <c r="A29" s="39"/>
      <c r="B29" s="27" t="s">
        <v>541</v>
      </c>
      <c r="C29" s="54">
        <v>28591</v>
      </c>
      <c r="D29" s="54">
        <v>9736</v>
      </c>
      <c r="E29" s="54">
        <v>33766</v>
      </c>
      <c r="F29" s="94">
        <v>24030</v>
      </c>
      <c r="G29" s="54">
        <v>52621</v>
      </c>
      <c r="J29" s="168"/>
      <c r="K29" s="39"/>
      <c r="L29" s="39"/>
      <c r="M29" s="39"/>
      <c r="N29" s="39"/>
      <c r="O29" s="39"/>
      <c r="P29" s="39"/>
      <c r="Q29" s="39"/>
      <c r="R29" s="39"/>
      <c r="S29" s="39"/>
      <c r="T29" s="39"/>
      <c r="U29" s="39"/>
      <c r="V29" s="39"/>
      <c r="W29" s="39"/>
      <c r="X29" s="39"/>
      <c r="Y29" s="39"/>
      <c r="Z29" s="39"/>
      <c r="AA29" s="39"/>
      <c r="AB29" s="39"/>
      <c r="AC29" s="152"/>
      <c r="AD29" s="230"/>
      <c r="AE29" s="231"/>
      <c r="AF29" s="231"/>
      <c r="AG29" s="231"/>
      <c r="AH29" s="231"/>
    </row>
    <row r="30" spans="1:34" s="27" customFormat="1" ht="12.75" customHeight="1">
      <c r="A30" s="39"/>
      <c r="B30" s="27" t="s">
        <v>273</v>
      </c>
      <c r="C30" s="54">
        <v>7861</v>
      </c>
      <c r="D30" s="54">
        <v>4937</v>
      </c>
      <c r="E30" s="54">
        <v>5688</v>
      </c>
      <c r="F30" s="94">
        <v>751</v>
      </c>
      <c r="G30" s="54">
        <v>8612</v>
      </c>
      <c r="J30" s="168"/>
      <c r="K30" s="39"/>
      <c r="L30" s="39"/>
      <c r="M30" s="610" t="s">
        <v>541</v>
      </c>
      <c r="N30" s="610"/>
      <c r="O30" s="610"/>
      <c r="P30" s="610"/>
      <c r="Q30" s="610"/>
      <c r="R30" s="610"/>
      <c r="S30" s="610"/>
      <c r="T30" s="610"/>
      <c r="U30" s="610"/>
      <c r="V30" s="610"/>
      <c r="W30" s="610"/>
      <c r="X30" s="610"/>
      <c r="Y30" s="610"/>
      <c r="Z30" s="610"/>
      <c r="AA30" s="610"/>
      <c r="AB30" s="610"/>
      <c r="AC30" s="152"/>
      <c r="AD30" s="230">
        <v>28591</v>
      </c>
      <c r="AE30" s="231">
        <v>9736</v>
      </c>
      <c r="AF30" s="231">
        <v>33766</v>
      </c>
      <c r="AG30" s="231">
        <v>24030</v>
      </c>
      <c r="AH30" s="231">
        <v>52621</v>
      </c>
    </row>
    <row r="31" spans="1:34" s="27" customFormat="1" ht="12.75" customHeight="1">
      <c r="A31" s="39"/>
      <c r="B31" s="39"/>
      <c r="C31" s="54"/>
      <c r="D31" s="54"/>
      <c r="E31" s="54"/>
      <c r="F31" s="94"/>
      <c r="G31" s="54"/>
      <c r="J31" s="168"/>
      <c r="K31" s="39"/>
      <c r="L31" s="39"/>
      <c r="M31" s="356" t="s">
        <v>273</v>
      </c>
      <c r="N31" s="356"/>
      <c r="O31" s="356"/>
      <c r="P31" s="356"/>
      <c r="Q31" s="356"/>
      <c r="R31" s="356"/>
      <c r="S31" s="356"/>
      <c r="T31" s="356"/>
      <c r="U31" s="356"/>
      <c r="V31" s="356"/>
      <c r="W31" s="356"/>
      <c r="X31" s="356"/>
      <c r="Y31" s="356"/>
      <c r="Z31" s="356"/>
      <c r="AA31" s="356"/>
      <c r="AB31" s="356"/>
      <c r="AC31" s="152"/>
      <c r="AD31" s="230">
        <v>7861</v>
      </c>
      <c r="AE31" s="231">
        <v>4937</v>
      </c>
      <c r="AF31" s="231">
        <v>5688</v>
      </c>
      <c r="AG31" s="231">
        <v>751</v>
      </c>
      <c r="AH31" s="231">
        <v>8612</v>
      </c>
    </row>
    <row r="32" spans="1:34" s="27" customFormat="1" ht="12.75" customHeight="1">
      <c r="A32" s="29" t="s">
        <v>274</v>
      </c>
      <c r="B32" s="29"/>
      <c r="C32" s="54">
        <v>7310</v>
      </c>
      <c r="D32" s="54">
        <v>1133</v>
      </c>
      <c r="E32" s="54">
        <v>3367</v>
      </c>
      <c r="F32" s="94">
        <v>2234</v>
      </c>
      <c r="G32" s="54">
        <v>9544</v>
      </c>
      <c r="J32" s="168"/>
      <c r="K32" s="39"/>
      <c r="L32" s="39"/>
      <c r="M32" s="39"/>
      <c r="N32" s="39"/>
      <c r="O32" s="39"/>
      <c r="P32" s="39"/>
      <c r="Q32" s="39"/>
      <c r="R32" s="39"/>
      <c r="S32" s="39"/>
      <c r="T32" s="39"/>
      <c r="U32" s="39"/>
      <c r="V32" s="39"/>
      <c r="W32" s="39"/>
      <c r="X32" s="39"/>
      <c r="Y32" s="39"/>
      <c r="Z32" s="39"/>
      <c r="AA32" s="39"/>
      <c r="AB32" s="39"/>
      <c r="AC32" s="152"/>
      <c r="AD32" s="54"/>
      <c r="AE32" s="54"/>
      <c r="AF32" s="54"/>
      <c r="AG32" s="94"/>
      <c r="AH32" s="54"/>
    </row>
    <row r="33" spans="1:34" s="27" customFormat="1" ht="12.75" customHeight="1">
      <c r="A33" s="41"/>
      <c r="B33" s="41"/>
      <c r="C33" s="32"/>
      <c r="D33" s="32"/>
      <c r="E33" s="32"/>
      <c r="F33" s="32"/>
      <c r="G33" s="32"/>
      <c r="J33" s="168"/>
      <c r="K33" s="444" t="s">
        <v>274</v>
      </c>
      <c r="L33" s="444"/>
      <c r="M33" s="444"/>
      <c r="N33" s="444"/>
      <c r="O33" s="444"/>
      <c r="P33" s="444"/>
      <c r="Q33" s="444"/>
      <c r="R33" s="444"/>
      <c r="S33" s="444"/>
      <c r="T33" s="444"/>
      <c r="U33" s="444"/>
      <c r="V33" s="444"/>
      <c r="W33" s="444"/>
      <c r="X33" s="444"/>
      <c r="Y33" s="444"/>
      <c r="Z33" s="444"/>
      <c r="AA33" s="444"/>
      <c r="AB33" s="444"/>
      <c r="AC33" s="151"/>
      <c r="AD33" s="236">
        <v>7310</v>
      </c>
      <c r="AE33" s="237">
        <v>1133</v>
      </c>
      <c r="AF33" s="237">
        <v>3367</v>
      </c>
      <c r="AG33" s="238">
        <v>2234</v>
      </c>
      <c r="AH33" s="237">
        <v>9544</v>
      </c>
    </row>
    <row r="38" spans="1:7" s="27" customFormat="1" ht="12.75" customHeight="1">
      <c r="A38" s="39"/>
      <c r="B38" s="39" t="s">
        <v>262</v>
      </c>
      <c r="C38" s="54">
        <v>1360</v>
      </c>
      <c r="D38" s="54">
        <v>107</v>
      </c>
      <c r="E38" s="54">
        <v>103</v>
      </c>
      <c r="F38" s="94">
        <v>-4</v>
      </c>
      <c r="G38" s="54">
        <v>1356</v>
      </c>
    </row>
    <row r="39" spans="1:7" s="27" customFormat="1" ht="12.75" customHeight="1">
      <c r="A39" s="39"/>
      <c r="B39" s="39" t="s">
        <v>263</v>
      </c>
      <c r="C39" s="54">
        <v>0</v>
      </c>
      <c r="D39" s="54">
        <v>0</v>
      </c>
      <c r="E39" s="54">
        <v>3</v>
      </c>
      <c r="F39" s="94">
        <v>3</v>
      </c>
      <c r="G39" s="54">
        <v>3</v>
      </c>
    </row>
    <row r="40" spans="1:7" s="27" customFormat="1" ht="12.75" customHeight="1">
      <c r="A40" s="39"/>
      <c r="B40" s="39" t="s">
        <v>264</v>
      </c>
      <c r="C40" s="54">
        <v>1</v>
      </c>
      <c r="D40" s="54">
        <v>0</v>
      </c>
      <c r="E40" s="54">
        <v>6</v>
      </c>
      <c r="F40" s="94">
        <v>6</v>
      </c>
      <c r="G40" s="54">
        <v>7</v>
      </c>
    </row>
    <row r="41" spans="1:7" s="27" customFormat="1" ht="12.75" customHeight="1">
      <c r="A41" s="39"/>
      <c r="B41" s="39" t="s">
        <v>266</v>
      </c>
      <c r="C41" s="54">
        <v>7</v>
      </c>
      <c r="D41" s="54">
        <v>1</v>
      </c>
      <c r="E41" s="54">
        <v>33</v>
      </c>
      <c r="F41" s="94">
        <v>32</v>
      </c>
      <c r="G41" s="54">
        <v>39</v>
      </c>
    </row>
    <row r="42" spans="1:7" s="27" customFormat="1" ht="12.75" customHeight="1">
      <c r="A42" s="39"/>
      <c r="B42" s="39" t="s">
        <v>267</v>
      </c>
      <c r="C42" s="54">
        <v>21941</v>
      </c>
      <c r="D42" s="54">
        <v>9487</v>
      </c>
      <c r="E42" s="54">
        <v>10030</v>
      </c>
      <c r="F42" s="94">
        <v>543</v>
      </c>
      <c r="G42" s="54">
        <v>22484</v>
      </c>
    </row>
    <row r="43" spans="1:7" s="27" customFormat="1" ht="12.75" customHeight="1">
      <c r="A43" s="39"/>
      <c r="B43" s="39" t="s">
        <v>268</v>
      </c>
      <c r="C43" s="54">
        <v>11324</v>
      </c>
      <c r="D43" s="54">
        <v>4850</v>
      </c>
      <c r="E43" s="54">
        <v>17969</v>
      </c>
      <c r="F43" s="94">
        <v>13119</v>
      </c>
      <c r="G43" s="54">
        <v>24443</v>
      </c>
    </row>
    <row r="44" spans="1:7" s="27" customFormat="1" ht="12.75" customHeight="1">
      <c r="A44" s="39"/>
      <c r="B44" s="27" t="s">
        <v>270</v>
      </c>
      <c r="C44" s="54">
        <v>598</v>
      </c>
      <c r="D44" s="54">
        <v>488</v>
      </c>
      <c r="E44" s="54">
        <v>777</v>
      </c>
      <c r="F44" s="94">
        <v>289</v>
      </c>
      <c r="G44" s="54">
        <v>887</v>
      </c>
    </row>
    <row r="45" spans="1:7" s="27" customFormat="1" ht="12.75" customHeight="1">
      <c r="A45" s="39"/>
      <c r="B45" s="27" t="s">
        <v>542</v>
      </c>
      <c r="C45" s="54">
        <v>5166</v>
      </c>
      <c r="D45" s="54">
        <v>2579</v>
      </c>
      <c r="E45" s="54">
        <v>17715</v>
      </c>
      <c r="F45" s="94">
        <v>15136</v>
      </c>
      <c r="G45" s="54">
        <v>20302</v>
      </c>
    </row>
    <row r="46" spans="1:7" s="27" customFormat="1" ht="12.75" customHeight="1">
      <c r="A46" s="39"/>
      <c r="B46" s="27" t="s">
        <v>543</v>
      </c>
      <c r="C46" s="54">
        <v>11404</v>
      </c>
      <c r="D46" s="54">
        <v>5542</v>
      </c>
      <c r="E46" s="54">
        <v>6327</v>
      </c>
      <c r="F46" s="94">
        <v>785</v>
      </c>
      <c r="G46" s="54">
        <v>12189</v>
      </c>
    </row>
    <row r="47" spans="1:7" s="27" customFormat="1" ht="12.75" customHeight="1">
      <c r="A47" s="39"/>
      <c r="B47" s="27" t="s">
        <v>545</v>
      </c>
      <c r="C47" s="54">
        <v>33372</v>
      </c>
      <c r="D47" s="54">
        <v>12528</v>
      </c>
      <c r="E47" s="54">
        <v>28395</v>
      </c>
      <c r="F47" s="94">
        <v>15867</v>
      </c>
      <c r="G47" s="54">
        <v>49239</v>
      </c>
    </row>
    <row r="48" spans="1:7" s="27" customFormat="1" ht="12.75" customHeight="1">
      <c r="A48" s="39"/>
      <c r="B48" s="27" t="s">
        <v>271</v>
      </c>
      <c r="C48" s="54">
        <v>4387</v>
      </c>
      <c r="D48" s="54">
        <v>2556</v>
      </c>
      <c r="E48" s="54">
        <v>10295</v>
      </c>
      <c r="F48" s="94">
        <v>7739</v>
      </c>
      <c r="G48" s="54">
        <v>12126</v>
      </c>
    </row>
    <row r="49" spans="1:7" s="27" customFormat="1" ht="12.75" customHeight="1">
      <c r="A49" s="39"/>
      <c r="B49" s="27" t="s">
        <v>272</v>
      </c>
      <c r="C49" s="54">
        <v>6056</v>
      </c>
      <c r="D49" s="54">
        <v>1582</v>
      </c>
      <c r="E49" s="54">
        <v>4387</v>
      </c>
      <c r="F49" s="94">
        <v>2805</v>
      </c>
      <c r="G49" s="54">
        <v>8861</v>
      </c>
    </row>
    <row r="50" spans="1:7" s="27" customFormat="1" ht="12.75" customHeight="1">
      <c r="A50" s="39"/>
      <c r="B50" s="27" t="s">
        <v>533</v>
      </c>
      <c r="C50" s="54">
        <v>8388</v>
      </c>
      <c r="D50" s="54">
        <v>2263</v>
      </c>
      <c r="E50" s="54">
        <v>7516</v>
      </c>
      <c r="F50" s="94">
        <v>5253</v>
      </c>
      <c r="G50" s="54">
        <v>13641</v>
      </c>
    </row>
    <row r="51" spans="2:7" s="27" customFormat="1" ht="12.75" customHeight="1">
      <c r="B51" s="27" t="s">
        <v>535</v>
      </c>
      <c r="C51" s="54">
        <v>18354</v>
      </c>
      <c r="D51" s="54">
        <v>7342</v>
      </c>
      <c r="E51" s="54">
        <v>10568</v>
      </c>
      <c r="F51" s="94">
        <v>3226</v>
      </c>
      <c r="G51" s="54">
        <v>21580</v>
      </c>
    </row>
    <row r="52" spans="2:7" s="27" customFormat="1" ht="12.75" customHeight="1">
      <c r="B52" s="27" t="s">
        <v>537</v>
      </c>
      <c r="C52" s="54">
        <v>10497</v>
      </c>
      <c r="D52" s="54">
        <v>5635</v>
      </c>
      <c r="E52" s="54">
        <v>9664</v>
      </c>
      <c r="F52" s="94">
        <v>4029</v>
      </c>
      <c r="G52" s="54">
        <v>14526</v>
      </c>
    </row>
    <row r="53" spans="2:7" s="27" customFormat="1" ht="12.75" customHeight="1">
      <c r="B53" s="27" t="s">
        <v>539</v>
      </c>
      <c r="C53" s="54">
        <v>1672</v>
      </c>
      <c r="D53" s="54">
        <v>863</v>
      </c>
      <c r="E53" s="54">
        <v>923</v>
      </c>
      <c r="F53" s="94">
        <v>60</v>
      </c>
      <c r="G53" s="54">
        <v>1732</v>
      </c>
    </row>
    <row r="54" spans="2:7" s="27" customFormat="1" ht="12.75" customHeight="1">
      <c r="B54" s="27" t="s">
        <v>541</v>
      </c>
      <c r="C54" s="54">
        <v>28591</v>
      </c>
      <c r="D54" s="54">
        <v>9736</v>
      </c>
      <c r="E54" s="54">
        <v>33766</v>
      </c>
      <c r="F54" s="94">
        <v>24030</v>
      </c>
      <c r="G54" s="54">
        <v>52621</v>
      </c>
    </row>
    <row r="55" spans="2:7" ht="13.5">
      <c r="B55" s="27" t="s">
        <v>273</v>
      </c>
      <c r="C55" s="54">
        <v>7861</v>
      </c>
      <c r="D55" s="54">
        <v>4937</v>
      </c>
      <c r="E55" s="54">
        <v>5688</v>
      </c>
      <c r="F55" s="94">
        <v>751</v>
      </c>
      <c r="G55" s="54">
        <v>8612</v>
      </c>
    </row>
    <row r="56" spans="2:7" ht="13.5">
      <c r="B56" s="29" t="s">
        <v>274</v>
      </c>
      <c r="C56" s="54">
        <v>7310</v>
      </c>
      <c r="D56" s="54">
        <v>1133</v>
      </c>
      <c r="E56" s="54">
        <v>3367</v>
      </c>
      <c r="F56" s="94">
        <v>2234</v>
      </c>
      <c r="G56" s="54">
        <v>9544</v>
      </c>
    </row>
    <row r="58" spans="2:7" ht="13.5">
      <c r="B58" s="168" t="s">
        <v>261</v>
      </c>
      <c r="C58" s="205">
        <v>1361</v>
      </c>
      <c r="D58" s="205">
        <v>107</v>
      </c>
      <c r="E58" s="205">
        <v>112</v>
      </c>
      <c r="F58" s="205">
        <v>5</v>
      </c>
      <c r="G58" s="205">
        <v>1366</v>
      </c>
    </row>
    <row r="59" spans="2:7" ht="13.5">
      <c r="B59" s="168" t="s">
        <v>265</v>
      </c>
      <c r="C59" s="205">
        <v>33272</v>
      </c>
      <c r="D59" s="205">
        <v>14338</v>
      </c>
      <c r="E59" s="205">
        <v>28032</v>
      </c>
      <c r="F59" s="205">
        <v>13694</v>
      </c>
      <c r="G59" s="205">
        <v>46966</v>
      </c>
    </row>
    <row r="60" spans="2:7" ht="13.5">
      <c r="B60" s="168" t="s">
        <v>269</v>
      </c>
      <c r="C60" s="205">
        <v>136346</v>
      </c>
      <c r="D60" s="205">
        <v>56051</v>
      </c>
      <c r="E60" s="205">
        <v>1088168</v>
      </c>
      <c r="F60" s="205">
        <v>639760</v>
      </c>
      <c r="G60" s="205">
        <v>1730528</v>
      </c>
    </row>
    <row r="61" spans="2:7" ht="13.5">
      <c r="B61" s="168" t="s">
        <v>274</v>
      </c>
      <c r="C61" s="205">
        <v>7310</v>
      </c>
      <c r="D61" s="205">
        <v>1133</v>
      </c>
      <c r="E61" s="205">
        <v>3367</v>
      </c>
      <c r="F61" s="205">
        <v>2234</v>
      </c>
      <c r="G61" s="205">
        <v>9544</v>
      </c>
    </row>
  </sheetData>
  <sheetProtection/>
  <mergeCells count="30">
    <mergeCell ref="A5:B5"/>
    <mergeCell ref="A2:B3"/>
    <mergeCell ref="C2:C3"/>
    <mergeCell ref="D2:D3"/>
    <mergeCell ref="K9:AB9"/>
    <mergeCell ref="K4:AB4"/>
    <mergeCell ref="M5:AB5"/>
    <mergeCell ref="F2:F3"/>
    <mergeCell ref="G2:G3"/>
    <mergeCell ref="E2:E3"/>
    <mergeCell ref="M19:AB19"/>
    <mergeCell ref="M18:AB18"/>
    <mergeCell ref="M17:AB17"/>
    <mergeCell ref="M16:AB16"/>
    <mergeCell ref="K1:AB1"/>
    <mergeCell ref="M12:AB12"/>
    <mergeCell ref="M11:AB11"/>
    <mergeCell ref="M6:AB6"/>
    <mergeCell ref="M7:AB7"/>
    <mergeCell ref="M10:AB10"/>
    <mergeCell ref="K33:AB33"/>
    <mergeCell ref="M31:AB31"/>
    <mergeCell ref="M30:AB30"/>
    <mergeCell ref="M24:AB24"/>
    <mergeCell ref="M15:AB15"/>
    <mergeCell ref="K14:AB14"/>
    <mergeCell ref="M23:AB23"/>
    <mergeCell ref="M22:AB22"/>
    <mergeCell ref="M21:AB21"/>
    <mergeCell ref="M20:AB20"/>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J46"/>
  <sheetViews>
    <sheetView zoomScalePageLayoutView="0" workbookViewId="0" topLeftCell="A1">
      <selection activeCell="A1" sqref="A1"/>
    </sheetView>
  </sheetViews>
  <sheetFormatPr defaultColWidth="9.00390625" defaultRowHeight="13.5"/>
  <cols>
    <col min="1" max="70" width="1.625" style="169" customWidth="1"/>
    <col min="71" max="16384" width="9.00390625" style="169" customWidth="1"/>
  </cols>
  <sheetData>
    <row r="1" s="186" customFormat="1" ht="10.5" customHeight="1">
      <c r="BJ1" s="330" t="s">
        <v>485</v>
      </c>
    </row>
    <row r="2" s="186" customFormat="1" ht="10.5" customHeight="1"/>
    <row r="3" spans="2:62" s="199" customFormat="1" ht="15.75" customHeight="1">
      <c r="B3" s="362" t="s">
        <v>164</v>
      </c>
      <c r="C3" s="363"/>
      <c r="D3" s="363"/>
      <c r="E3" s="363"/>
      <c r="F3" s="363"/>
      <c r="G3" s="363"/>
      <c r="H3" s="363"/>
      <c r="I3" s="363"/>
      <c r="J3" s="363"/>
      <c r="K3" s="363"/>
      <c r="L3" s="363"/>
      <c r="M3" s="363"/>
      <c r="N3" s="363"/>
      <c r="O3" s="363"/>
      <c r="BC3" s="200"/>
      <c r="BD3" s="200"/>
      <c r="BE3" s="200"/>
      <c r="BF3" s="200"/>
      <c r="BG3" s="200"/>
      <c r="BH3" s="200"/>
      <c r="BI3" s="200"/>
      <c r="BJ3" s="200"/>
    </row>
    <row r="4" spans="3:62" s="72" customFormat="1" ht="13.5" customHeight="1">
      <c r="C4" s="185"/>
      <c r="BC4" s="74"/>
      <c r="BD4" s="74"/>
      <c r="BE4" s="74"/>
      <c r="BF4" s="74"/>
      <c r="BG4" s="74"/>
      <c r="BH4" s="74"/>
      <c r="BI4" s="74"/>
      <c r="BJ4" s="74"/>
    </row>
    <row r="5" spans="3:62" s="72" customFormat="1" ht="13.5" customHeight="1">
      <c r="C5" s="357" t="s">
        <v>165</v>
      </c>
      <c r="D5" s="357"/>
      <c r="E5" s="357"/>
      <c r="F5" s="357"/>
      <c r="G5" s="357"/>
      <c r="H5" s="357"/>
      <c r="I5" s="357"/>
      <c r="J5" s="357"/>
      <c r="L5" s="72" t="s">
        <v>166</v>
      </c>
      <c r="BD5" s="74"/>
      <c r="BE5" s="74"/>
      <c r="BF5" s="74"/>
      <c r="BG5" s="74"/>
      <c r="BH5" s="74"/>
      <c r="BI5" s="74"/>
      <c r="BJ5" s="74"/>
    </row>
    <row r="6" spans="3:62" s="72" customFormat="1" ht="13.5" customHeight="1">
      <c r="C6" s="357" t="s">
        <v>167</v>
      </c>
      <c r="D6" s="357"/>
      <c r="E6" s="357"/>
      <c r="F6" s="357"/>
      <c r="G6" s="357"/>
      <c r="H6" s="357"/>
      <c r="I6" s="357"/>
      <c r="J6" s="357"/>
      <c r="L6" s="72" t="s">
        <v>168</v>
      </c>
      <c r="BD6" s="74"/>
      <c r="BE6" s="74"/>
      <c r="BF6" s="74"/>
      <c r="BG6" s="74"/>
      <c r="BH6" s="74"/>
      <c r="BI6" s="74"/>
      <c r="BJ6" s="74"/>
    </row>
    <row r="7" spans="3:62" s="72" customFormat="1" ht="13.5" customHeight="1">
      <c r="C7" s="357" t="s">
        <v>169</v>
      </c>
      <c r="D7" s="357"/>
      <c r="E7" s="357"/>
      <c r="F7" s="357"/>
      <c r="G7" s="357"/>
      <c r="H7" s="357"/>
      <c r="I7" s="357"/>
      <c r="J7" s="357"/>
      <c r="L7" s="72" t="s">
        <v>170</v>
      </c>
      <c r="BD7" s="74"/>
      <c r="BE7" s="74"/>
      <c r="BF7" s="74"/>
      <c r="BG7" s="74"/>
      <c r="BH7" s="74"/>
      <c r="BI7" s="74"/>
      <c r="BJ7" s="74"/>
    </row>
    <row r="8" spans="3:62" s="72" customFormat="1" ht="13.5" customHeight="1">
      <c r="C8" s="357" t="s">
        <v>171</v>
      </c>
      <c r="D8" s="357"/>
      <c r="E8" s="357"/>
      <c r="F8" s="357"/>
      <c r="G8" s="357"/>
      <c r="H8" s="357"/>
      <c r="I8" s="357"/>
      <c r="J8" s="357"/>
      <c r="L8" s="72" t="s">
        <v>457</v>
      </c>
      <c r="BD8" s="74"/>
      <c r="BE8" s="74"/>
      <c r="BF8" s="74"/>
      <c r="BG8" s="74"/>
      <c r="BH8" s="74"/>
      <c r="BI8" s="74"/>
      <c r="BJ8" s="74"/>
    </row>
    <row r="9" spans="3:62" s="72" customFormat="1" ht="13.5" customHeight="1">
      <c r="C9" s="357" t="s">
        <v>172</v>
      </c>
      <c r="D9" s="357"/>
      <c r="E9" s="357"/>
      <c r="F9" s="357"/>
      <c r="G9" s="357"/>
      <c r="H9" s="357"/>
      <c r="I9" s="357"/>
      <c r="J9" s="357"/>
      <c r="L9" s="72" t="s">
        <v>458</v>
      </c>
      <c r="BB9" s="74"/>
      <c r="BC9" s="74"/>
      <c r="BD9" s="74"/>
      <c r="BE9" s="74"/>
      <c r="BF9" s="74"/>
      <c r="BG9" s="74"/>
      <c r="BH9" s="74"/>
      <c r="BI9" s="74"/>
      <c r="BJ9" s="74"/>
    </row>
    <row r="10" spans="3:62" s="72" customFormat="1" ht="13.5" customHeight="1">
      <c r="C10" s="357" t="s">
        <v>173</v>
      </c>
      <c r="D10" s="357"/>
      <c r="E10" s="357"/>
      <c r="F10" s="357"/>
      <c r="G10" s="357"/>
      <c r="H10" s="357"/>
      <c r="I10" s="357"/>
      <c r="J10" s="357"/>
      <c r="L10" s="344" t="s">
        <v>522</v>
      </c>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74"/>
      <c r="BJ10" s="74"/>
    </row>
    <row r="11" spans="3:60" s="72" customFormat="1" ht="13.5" customHeight="1">
      <c r="C11" s="75"/>
      <c r="D11" s="75"/>
      <c r="E11" s="75"/>
      <c r="F11" s="75"/>
      <c r="G11" s="75"/>
      <c r="H11" s="75"/>
      <c r="I11" s="75"/>
      <c r="J11" s="75"/>
      <c r="L11" s="72" t="s">
        <v>523</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8"/>
      <c r="BC11" s="78"/>
      <c r="BD11" s="78"/>
      <c r="BE11" s="78"/>
      <c r="BF11" s="78"/>
      <c r="BG11" s="78"/>
      <c r="BH11" s="78"/>
    </row>
    <row r="12" spans="3:60" s="72" customFormat="1" ht="13.5" customHeight="1">
      <c r="C12" s="357" t="s">
        <v>464</v>
      </c>
      <c r="D12" s="357"/>
      <c r="E12" s="357"/>
      <c r="F12" s="357"/>
      <c r="G12" s="357"/>
      <c r="H12" s="357"/>
      <c r="I12" s="357"/>
      <c r="J12" s="357"/>
      <c r="L12" s="72" t="s">
        <v>465</v>
      </c>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8"/>
      <c r="BC12" s="78"/>
      <c r="BD12" s="78"/>
      <c r="BE12" s="78"/>
      <c r="BF12" s="78"/>
      <c r="BG12" s="78"/>
      <c r="BH12" s="78"/>
    </row>
    <row r="13" spans="3:60" s="72" customFormat="1" ht="27" customHeight="1">
      <c r="C13" s="75"/>
      <c r="D13" s="75"/>
      <c r="E13" s="75"/>
      <c r="F13" s="75"/>
      <c r="G13" s="75"/>
      <c r="H13" s="75"/>
      <c r="I13" s="75"/>
      <c r="J13" s="75"/>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8"/>
      <c r="BC13" s="78"/>
      <c r="BD13" s="78"/>
      <c r="BE13" s="78"/>
      <c r="BF13" s="78"/>
      <c r="BG13" s="78"/>
      <c r="BH13" s="78"/>
    </row>
    <row r="14" s="168" customFormat="1" ht="15.75" customHeight="1">
      <c r="B14" s="123" t="s">
        <v>174</v>
      </c>
    </row>
    <row r="15" s="186" customFormat="1" ht="13.5" customHeight="1"/>
    <row r="16" spans="2:60" ht="19.5" customHeight="1">
      <c r="B16" s="346" t="s">
        <v>415</v>
      </c>
      <c r="C16" s="347"/>
      <c r="D16" s="347"/>
      <c r="E16" s="347"/>
      <c r="F16" s="347"/>
      <c r="G16" s="347"/>
      <c r="H16" s="347"/>
      <c r="I16" s="347"/>
      <c r="J16" s="347"/>
      <c r="K16" s="347"/>
      <c r="L16" s="347"/>
      <c r="M16" s="347"/>
      <c r="N16" s="347"/>
      <c r="O16" s="347"/>
      <c r="P16" s="347"/>
      <c r="Q16" s="347"/>
      <c r="R16" s="347"/>
      <c r="S16" s="347"/>
      <c r="T16" s="347"/>
      <c r="U16" s="348"/>
      <c r="V16" s="346" t="s">
        <v>416</v>
      </c>
      <c r="W16" s="347"/>
      <c r="X16" s="347"/>
      <c r="Y16" s="347"/>
      <c r="Z16" s="347"/>
      <c r="AA16" s="347"/>
      <c r="AB16" s="347"/>
      <c r="AC16" s="347"/>
      <c r="AD16" s="347"/>
      <c r="AE16" s="347"/>
      <c r="AF16" s="347"/>
      <c r="AG16" s="347"/>
      <c r="AH16" s="347"/>
      <c r="AI16" s="347"/>
      <c r="AJ16" s="347"/>
      <c r="AK16" s="347"/>
      <c r="AL16" s="347"/>
      <c r="AM16" s="347"/>
      <c r="AN16" s="348"/>
      <c r="AO16" s="346" t="s">
        <v>462</v>
      </c>
      <c r="AP16" s="347"/>
      <c r="AQ16" s="347"/>
      <c r="AR16" s="347"/>
      <c r="AS16" s="347"/>
      <c r="AT16" s="347"/>
      <c r="AU16" s="347"/>
      <c r="AV16" s="347"/>
      <c r="AW16" s="347"/>
      <c r="AX16" s="347"/>
      <c r="AY16" s="347"/>
      <c r="AZ16" s="347"/>
      <c r="BA16" s="347"/>
      <c r="BB16" s="347"/>
      <c r="BC16" s="347"/>
      <c r="BD16" s="347"/>
      <c r="BE16" s="347"/>
      <c r="BF16" s="347"/>
      <c r="BG16" s="347"/>
      <c r="BH16" s="348"/>
    </row>
    <row r="17" spans="2:60" ht="19.5" customHeight="1">
      <c r="B17" s="188"/>
      <c r="C17" s="356" t="s">
        <v>417</v>
      </c>
      <c r="D17" s="356"/>
      <c r="E17" s="356"/>
      <c r="F17" s="356"/>
      <c r="G17" s="356"/>
      <c r="H17" s="356"/>
      <c r="I17" s="356"/>
      <c r="J17" s="356"/>
      <c r="K17" s="356"/>
      <c r="L17" s="356"/>
      <c r="M17" s="356"/>
      <c r="N17" s="356"/>
      <c r="O17" s="356"/>
      <c r="P17" s="356"/>
      <c r="Q17" s="356"/>
      <c r="R17" s="356"/>
      <c r="S17" s="356"/>
      <c r="T17" s="356"/>
      <c r="U17" s="189"/>
      <c r="V17" s="188"/>
      <c r="W17" s="187" t="s">
        <v>421</v>
      </c>
      <c r="X17" s="187"/>
      <c r="Y17" s="187"/>
      <c r="Z17" s="187"/>
      <c r="AA17" s="187"/>
      <c r="AB17" s="187"/>
      <c r="AC17" s="187"/>
      <c r="AD17" s="187"/>
      <c r="AE17" s="187"/>
      <c r="AF17" s="187"/>
      <c r="AG17" s="187"/>
      <c r="AH17" s="187"/>
      <c r="AI17" s="187"/>
      <c r="AJ17" s="187"/>
      <c r="AK17" s="187"/>
      <c r="AL17" s="187"/>
      <c r="AM17" s="187"/>
      <c r="AN17" s="189"/>
      <c r="AO17" s="188"/>
      <c r="AP17" s="364"/>
      <c r="AQ17" s="364"/>
      <c r="AR17" s="364"/>
      <c r="AS17" s="364"/>
      <c r="AT17" s="364"/>
      <c r="AU17" s="364"/>
      <c r="AV17" s="364"/>
      <c r="AW17" s="364"/>
      <c r="AX17" s="364"/>
      <c r="AY17" s="364"/>
      <c r="AZ17" s="364"/>
      <c r="BA17" s="364"/>
      <c r="BB17" s="364"/>
      <c r="BC17" s="364"/>
      <c r="BD17" s="364"/>
      <c r="BE17" s="364"/>
      <c r="BF17" s="364"/>
      <c r="BG17" s="364"/>
      <c r="BH17" s="189"/>
    </row>
    <row r="18" spans="2:60" ht="19.5" customHeight="1">
      <c r="B18" s="190"/>
      <c r="C18" s="191"/>
      <c r="D18" s="191"/>
      <c r="E18" s="191"/>
      <c r="F18" s="191"/>
      <c r="G18" s="191"/>
      <c r="H18" s="191"/>
      <c r="I18" s="191"/>
      <c r="J18" s="191"/>
      <c r="K18" s="191"/>
      <c r="L18" s="191"/>
      <c r="M18" s="191"/>
      <c r="N18" s="191"/>
      <c r="O18" s="191"/>
      <c r="P18" s="191"/>
      <c r="Q18" s="191"/>
      <c r="R18" s="191"/>
      <c r="S18" s="191"/>
      <c r="T18" s="191"/>
      <c r="U18" s="192"/>
      <c r="V18" s="190"/>
      <c r="W18" s="191"/>
      <c r="X18" s="191"/>
      <c r="Y18" s="191"/>
      <c r="Z18" s="191"/>
      <c r="AA18" s="191"/>
      <c r="AB18" s="191"/>
      <c r="AC18" s="191"/>
      <c r="AD18" s="191"/>
      <c r="AE18" s="191"/>
      <c r="AF18" s="191"/>
      <c r="AG18" s="191"/>
      <c r="AH18" s="191"/>
      <c r="AI18" s="191"/>
      <c r="AJ18" s="191"/>
      <c r="AK18" s="191"/>
      <c r="AL18" s="191"/>
      <c r="AM18" s="191"/>
      <c r="AN18" s="192"/>
      <c r="AO18" s="190"/>
      <c r="AP18" s="191"/>
      <c r="AQ18" s="191"/>
      <c r="AR18" s="191"/>
      <c r="AS18" s="191"/>
      <c r="AT18" s="191"/>
      <c r="AU18" s="191"/>
      <c r="AV18" s="191"/>
      <c r="AW18" s="191"/>
      <c r="AX18" s="191"/>
      <c r="AY18" s="191"/>
      <c r="AZ18" s="191"/>
      <c r="BA18" s="191"/>
      <c r="BB18" s="191"/>
      <c r="BC18" s="191"/>
      <c r="BD18" s="191"/>
      <c r="BE18" s="191"/>
      <c r="BF18" s="191"/>
      <c r="BG18" s="191"/>
      <c r="BH18" s="192"/>
    </row>
    <row r="19" spans="2:60" ht="19.5" customHeight="1">
      <c r="B19" s="159"/>
      <c r="C19" s="187"/>
      <c r="D19" s="29"/>
      <c r="E19" s="29"/>
      <c r="F19" s="29"/>
      <c r="G19" s="29"/>
      <c r="H19" s="29"/>
      <c r="I19" s="29"/>
      <c r="J19" s="29"/>
      <c r="K19" s="29"/>
      <c r="L19" s="194"/>
      <c r="M19" s="355" t="s">
        <v>418</v>
      </c>
      <c r="N19" s="355"/>
      <c r="O19" s="355"/>
      <c r="P19" s="355"/>
      <c r="Q19" s="355"/>
      <c r="R19" s="355"/>
      <c r="S19" s="355"/>
      <c r="T19" s="355"/>
      <c r="U19" s="193"/>
      <c r="V19" s="190"/>
      <c r="W19" s="191" t="s">
        <v>420</v>
      </c>
      <c r="X19" s="191"/>
      <c r="Y19" s="191"/>
      <c r="Z19" s="191"/>
      <c r="AA19" s="191"/>
      <c r="AB19" s="191"/>
      <c r="AC19" s="191"/>
      <c r="AD19" s="191"/>
      <c r="AE19" s="191"/>
      <c r="AF19" s="191"/>
      <c r="AG19" s="191"/>
      <c r="AH19" s="191"/>
      <c r="AI19" s="191"/>
      <c r="AJ19" s="191"/>
      <c r="AK19" s="191"/>
      <c r="AL19" s="191"/>
      <c r="AM19" s="191"/>
      <c r="AN19" s="192"/>
      <c r="AO19" s="190"/>
      <c r="AP19" s="191" t="s">
        <v>459</v>
      </c>
      <c r="AQ19" s="191"/>
      <c r="AR19" s="191"/>
      <c r="AS19" s="191"/>
      <c r="AT19" s="191"/>
      <c r="AU19" s="191"/>
      <c r="AV19" s="191"/>
      <c r="AW19" s="191"/>
      <c r="AX19" s="191"/>
      <c r="AY19" s="191"/>
      <c r="AZ19" s="191"/>
      <c r="BA19" s="191"/>
      <c r="BB19" s="191"/>
      <c r="BC19" s="191"/>
      <c r="BD19" s="191"/>
      <c r="BE19" s="191"/>
      <c r="BF19" s="191"/>
      <c r="BG19" s="191"/>
      <c r="BH19" s="192"/>
    </row>
    <row r="20" spans="2:60" ht="19.5" customHeight="1">
      <c r="B20" s="188"/>
      <c r="C20" s="356" t="s">
        <v>175</v>
      </c>
      <c r="D20" s="356"/>
      <c r="E20" s="356"/>
      <c r="F20" s="356"/>
      <c r="G20" s="356"/>
      <c r="H20" s="356"/>
      <c r="I20" s="356"/>
      <c r="J20" s="356"/>
      <c r="K20" s="187"/>
      <c r="L20" s="188"/>
      <c r="M20" s="350" t="s">
        <v>461</v>
      </c>
      <c r="N20" s="350"/>
      <c r="O20" s="350"/>
      <c r="P20" s="350"/>
      <c r="Q20" s="350"/>
      <c r="R20" s="350"/>
      <c r="S20" s="350"/>
      <c r="T20" s="350"/>
      <c r="U20" s="210"/>
      <c r="V20" s="211"/>
      <c r="W20" s="350" t="s">
        <v>463</v>
      </c>
      <c r="X20" s="350"/>
      <c r="Y20" s="350"/>
      <c r="Z20" s="350"/>
      <c r="AA20" s="350"/>
      <c r="AB20" s="350"/>
      <c r="AC20" s="350"/>
      <c r="AD20" s="350"/>
      <c r="AE20" s="350"/>
      <c r="AF20" s="350"/>
      <c r="AG20" s="350"/>
      <c r="AH20" s="350"/>
      <c r="AI20" s="350"/>
      <c r="AJ20" s="350"/>
      <c r="AK20" s="350"/>
      <c r="AL20" s="350"/>
      <c r="AM20" s="350"/>
      <c r="AN20" s="210"/>
      <c r="AO20" s="211"/>
      <c r="AP20" s="212" t="s">
        <v>460</v>
      </c>
      <c r="AQ20" s="212"/>
      <c r="AR20" s="212"/>
      <c r="AS20" s="212"/>
      <c r="AT20" s="212"/>
      <c r="AU20" s="212"/>
      <c r="AV20" s="212"/>
      <c r="AW20" s="212"/>
      <c r="AX20" s="212"/>
      <c r="AY20" s="212"/>
      <c r="AZ20" s="187"/>
      <c r="BA20" s="187"/>
      <c r="BB20" s="187"/>
      <c r="BC20" s="187"/>
      <c r="BD20" s="187"/>
      <c r="BE20" s="187"/>
      <c r="BF20" s="187"/>
      <c r="BG20" s="187"/>
      <c r="BH20" s="189"/>
    </row>
    <row r="21" spans="2:60" ht="21.75" customHeight="1">
      <c r="B21" s="190"/>
      <c r="C21" s="191"/>
      <c r="D21" s="191"/>
      <c r="E21" s="191"/>
      <c r="F21" s="191"/>
      <c r="G21" s="191"/>
      <c r="H21" s="191"/>
      <c r="I21" s="191"/>
      <c r="J21" s="191"/>
      <c r="K21" s="191"/>
      <c r="L21" s="190"/>
      <c r="M21" s="354" t="s">
        <v>419</v>
      </c>
      <c r="N21" s="354"/>
      <c r="O21" s="354"/>
      <c r="P21" s="354"/>
      <c r="Q21" s="354"/>
      <c r="R21" s="354"/>
      <c r="S21" s="354"/>
      <c r="T21" s="354"/>
      <c r="U21" s="207"/>
      <c r="V21" s="208"/>
      <c r="W21" s="209" t="s">
        <v>430</v>
      </c>
      <c r="X21" s="209"/>
      <c r="Y21" s="209"/>
      <c r="Z21" s="209"/>
      <c r="AA21" s="191"/>
      <c r="AB21" s="191"/>
      <c r="AC21" s="191"/>
      <c r="AD21" s="191"/>
      <c r="AE21" s="191"/>
      <c r="AF21" s="191"/>
      <c r="AG21" s="191"/>
      <c r="AH21" s="191"/>
      <c r="AI21" s="191"/>
      <c r="AJ21" s="191"/>
      <c r="AK21" s="191"/>
      <c r="AL21" s="191"/>
      <c r="AM21" s="191"/>
      <c r="AN21" s="192"/>
      <c r="AO21" s="190"/>
      <c r="AP21" s="191"/>
      <c r="AQ21" s="191"/>
      <c r="AR21" s="191"/>
      <c r="AS21" s="191"/>
      <c r="AT21" s="191"/>
      <c r="AU21" s="191"/>
      <c r="AV21" s="191"/>
      <c r="AW21" s="191"/>
      <c r="AX21" s="191"/>
      <c r="AY21" s="191"/>
      <c r="AZ21" s="191"/>
      <c r="BA21" s="191"/>
      <c r="BB21" s="191"/>
      <c r="BC21" s="191"/>
      <c r="BD21" s="191"/>
      <c r="BE21" s="191"/>
      <c r="BF21" s="191"/>
      <c r="BG21" s="191"/>
      <c r="BH21" s="192"/>
    </row>
    <row r="22" spans="1:60" ht="13.5" customHeight="1">
      <c r="A22" s="187"/>
      <c r="B22" s="187"/>
      <c r="C22" s="187"/>
      <c r="D22" s="187"/>
      <c r="E22" s="187"/>
      <c r="F22" s="187"/>
      <c r="G22" s="187"/>
      <c r="H22" s="187"/>
      <c r="I22" s="187"/>
      <c r="J22" s="187"/>
      <c r="K22" s="187"/>
      <c r="L22" s="187"/>
      <c r="M22" s="39"/>
      <c r="N22" s="39"/>
      <c r="O22" s="39"/>
      <c r="P22" s="39"/>
      <c r="Q22" s="39"/>
      <c r="R22" s="39"/>
      <c r="S22" s="39"/>
      <c r="T22" s="39"/>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row>
    <row r="23" spans="1:60" ht="19.5" customHeight="1">
      <c r="A23" s="187"/>
      <c r="B23" s="351" t="s">
        <v>176</v>
      </c>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3"/>
    </row>
    <row r="24" spans="2:60" ht="19.5" customHeight="1">
      <c r="B24" s="346" t="s">
        <v>415</v>
      </c>
      <c r="C24" s="347"/>
      <c r="D24" s="347"/>
      <c r="E24" s="347"/>
      <c r="F24" s="347"/>
      <c r="G24" s="347"/>
      <c r="H24" s="347"/>
      <c r="I24" s="347"/>
      <c r="J24" s="347"/>
      <c r="K24" s="347"/>
      <c r="L24" s="347"/>
      <c r="M24" s="347"/>
      <c r="N24" s="347"/>
      <c r="O24" s="347"/>
      <c r="P24" s="347"/>
      <c r="Q24" s="347"/>
      <c r="R24" s="347"/>
      <c r="S24" s="347"/>
      <c r="T24" s="347"/>
      <c r="U24" s="349"/>
      <c r="V24" s="346" t="s">
        <v>416</v>
      </c>
      <c r="W24" s="347"/>
      <c r="X24" s="347"/>
      <c r="Y24" s="347"/>
      <c r="Z24" s="347"/>
      <c r="AA24" s="347"/>
      <c r="AB24" s="347"/>
      <c r="AC24" s="347"/>
      <c r="AD24" s="347"/>
      <c r="AE24" s="347"/>
      <c r="AF24" s="347"/>
      <c r="AG24" s="347"/>
      <c r="AH24" s="347"/>
      <c r="AI24" s="347"/>
      <c r="AJ24" s="347"/>
      <c r="AK24" s="347"/>
      <c r="AL24" s="347"/>
      <c r="AM24" s="347"/>
      <c r="AN24" s="348"/>
      <c r="AO24" s="366" t="s">
        <v>462</v>
      </c>
      <c r="AP24" s="347"/>
      <c r="AQ24" s="347"/>
      <c r="AR24" s="347"/>
      <c r="AS24" s="347"/>
      <c r="AT24" s="347"/>
      <c r="AU24" s="347"/>
      <c r="AV24" s="347"/>
      <c r="AW24" s="347"/>
      <c r="AX24" s="347"/>
      <c r="AY24" s="347"/>
      <c r="AZ24" s="347"/>
      <c r="BA24" s="347"/>
      <c r="BB24" s="347"/>
      <c r="BC24" s="347"/>
      <c r="BD24" s="347"/>
      <c r="BE24" s="347"/>
      <c r="BF24" s="347"/>
      <c r="BG24" s="347"/>
      <c r="BH24" s="348"/>
    </row>
    <row r="25" spans="2:60" ht="19.5" customHeight="1">
      <c r="B25" s="188"/>
      <c r="C25" s="359" t="s">
        <v>422</v>
      </c>
      <c r="D25" s="359"/>
      <c r="E25" s="359"/>
      <c r="F25" s="359"/>
      <c r="G25" s="359"/>
      <c r="H25" s="359"/>
      <c r="I25" s="359"/>
      <c r="J25" s="359"/>
      <c r="K25" s="359"/>
      <c r="L25" s="359"/>
      <c r="M25" s="359"/>
      <c r="N25" s="359"/>
      <c r="O25" s="359"/>
      <c r="P25" s="359"/>
      <c r="Q25" s="359"/>
      <c r="R25" s="359"/>
      <c r="S25" s="359"/>
      <c r="T25" s="359"/>
      <c r="U25" s="187"/>
      <c r="V25" s="188"/>
      <c r="W25" s="187" t="s">
        <v>424</v>
      </c>
      <c r="X25" s="187"/>
      <c r="Y25" s="187"/>
      <c r="Z25" s="187"/>
      <c r="AA25" s="187"/>
      <c r="AB25" s="187"/>
      <c r="AC25" s="187"/>
      <c r="AD25" s="187"/>
      <c r="AE25" s="187"/>
      <c r="AF25" s="187"/>
      <c r="AG25" s="187"/>
      <c r="AH25" s="187"/>
      <c r="AI25" s="187"/>
      <c r="AJ25" s="187"/>
      <c r="AK25" s="187"/>
      <c r="AL25" s="187"/>
      <c r="AM25" s="187"/>
      <c r="AN25" s="189"/>
      <c r="AO25" s="187"/>
      <c r="AP25" s="187" t="s">
        <v>425</v>
      </c>
      <c r="AQ25" s="187"/>
      <c r="AR25" s="187"/>
      <c r="AS25" s="187"/>
      <c r="AT25" s="187"/>
      <c r="AU25" s="187"/>
      <c r="AV25" s="187"/>
      <c r="AW25" s="187"/>
      <c r="AX25" s="187"/>
      <c r="AY25" s="187"/>
      <c r="AZ25" s="187"/>
      <c r="BA25" s="187"/>
      <c r="BB25" s="187"/>
      <c r="BC25" s="187"/>
      <c r="BD25" s="187"/>
      <c r="BE25" s="187"/>
      <c r="BF25" s="187"/>
      <c r="BG25" s="187"/>
      <c r="BH25" s="189"/>
    </row>
    <row r="26" spans="2:60" ht="19.5" customHeight="1">
      <c r="B26" s="188"/>
      <c r="C26" s="213" t="s">
        <v>423</v>
      </c>
      <c r="D26" s="187"/>
      <c r="E26" s="187"/>
      <c r="F26" s="187"/>
      <c r="G26" s="187"/>
      <c r="H26" s="187"/>
      <c r="I26" s="187"/>
      <c r="J26" s="187"/>
      <c r="K26" s="187"/>
      <c r="L26" s="187"/>
      <c r="M26" s="187"/>
      <c r="N26" s="187"/>
      <c r="O26" s="187"/>
      <c r="P26" s="187"/>
      <c r="Q26" s="187"/>
      <c r="R26" s="187"/>
      <c r="S26" s="187"/>
      <c r="T26" s="187"/>
      <c r="U26" s="187"/>
      <c r="V26" s="188"/>
      <c r="W26" s="187"/>
      <c r="X26" s="187"/>
      <c r="Y26" s="187"/>
      <c r="Z26" s="187"/>
      <c r="AA26" s="187"/>
      <c r="AB26" s="187"/>
      <c r="AC26" s="187"/>
      <c r="AD26" s="187"/>
      <c r="AE26" s="187"/>
      <c r="AF26" s="187"/>
      <c r="AG26" s="187"/>
      <c r="AH26" s="187"/>
      <c r="AI26" s="187"/>
      <c r="AJ26" s="187"/>
      <c r="AK26" s="187"/>
      <c r="AL26" s="187"/>
      <c r="AM26" s="187"/>
      <c r="AN26" s="189"/>
      <c r="AO26" s="187"/>
      <c r="AP26" s="187"/>
      <c r="AQ26" s="187"/>
      <c r="AR26" s="187"/>
      <c r="AS26" s="187"/>
      <c r="AT26" s="187"/>
      <c r="AU26" s="187"/>
      <c r="AV26" s="187"/>
      <c r="AW26" s="187"/>
      <c r="AX26" s="187"/>
      <c r="AY26" s="187"/>
      <c r="AZ26" s="187"/>
      <c r="BA26" s="187"/>
      <c r="BB26" s="187"/>
      <c r="BC26" s="187"/>
      <c r="BD26" s="187"/>
      <c r="BE26" s="187"/>
      <c r="BF26" s="187"/>
      <c r="BG26" s="187"/>
      <c r="BH26" s="189"/>
    </row>
    <row r="27" spans="2:60" ht="19.5" customHeight="1">
      <c r="B27" s="195"/>
      <c r="C27" s="358" t="s">
        <v>477</v>
      </c>
      <c r="D27" s="358"/>
      <c r="E27" s="358"/>
      <c r="F27" s="358"/>
      <c r="G27" s="358"/>
      <c r="H27" s="358"/>
      <c r="I27" s="358"/>
      <c r="J27" s="358"/>
      <c r="K27" s="358"/>
      <c r="L27" s="358"/>
      <c r="M27" s="358"/>
      <c r="N27" s="358"/>
      <c r="O27" s="358"/>
      <c r="P27" s="358"/>
      <c r="Q27" s="358"/>
      <c r="R27" s="358"/>
      <c r="S27" s="358"/>
      <c r="T27" s="358"/>
      <c r="U27" s="196"/>
      <c r="V27" s="188"/>
      <c r="W27" s="187"/>
      <c r="X27" s="187"/>
      <c r="Y27" s="187"/>
      <c r="Z27" s="187"/>
      <c r="AA27" s="187"/>
      <c r="AB27" s="187"/>
      <c r="AC27" s="187"/>
      <c r="AD27" s="187"/>
      <c r="AE27" s="187"/>
      <c r="AF27" s="187"/>
      <c r="AG27" s="187"/>
      <c r="AH27" s="187"/>
      <c r="AI27" s="187"/>
      <c r="AJ27" s="187"/>
      <c r="AK27" s="187"/>
      <c r="AL27" s="187"/>
      <c r="AM27" s="187"/>
      <c r="AN27" s="189"/>
      <c r="AO27" s="190"/>
      <c r="AP27" s="191"/>
      <c r="AQ27" s="191"/>
      <c r="AR27" s="191"/>
      <c r="AS27" s="191"/>
      <c r="AT27" s="191"/>
      <c r="AU27" s="191"/>
      <c r="AV27" s="191"/>
      <c r="AW27" s="191"/>
      <c r="AX27" s="191"/>
      <c r="AY27" s="191"/>
      <c r="AZ27" s="191"/>
      <c r="BA27" s="191"/>
      <c r="BB27" s="191"/>
      <c r="BC27" s="191"/>
      <c r="BD27" s="191"/>
      <c r="BE27" s="191"/>
      <c r="BF27" s="191"/>
      <c r="BG27" s="191"/>
      <c r="BH27" s="192"/>
    </row>
    <row r="28" spans="2:60" ht="19.5" customHeight="1">
      <c r="B28" s="188"/>
      <c r="C28" s="350" t="s">
        <v>426</v>
      </c>
      <c r="D28" s="350"/>
      <c r="E28" s="350"/>
      <c r="F28" s="350"/>
      <c r="G28" s="350"/>
      <c r="H28" s="350"/>
      <c r="I28" s="350"/>
      <c r="J28" s="350"/>
      <c r="K28" s="187"/>
      <c r="L28" s="195"/>
      <c r="M28" s="358" t="s">
        <v>427</v>
      </c>
      <c r="N28" s="358"/>
      <c r="O28" s="358"/>
      <c r="P28" s="358"/>
      <c r="Q28" s="358"/>
      <c r="R28" s="358"/>
      <c r="S28" s="358"/>
      <c r="T28" s="358"/>
      <c r="U28" s="196"/>
      <c r="V28" s="195"/>
      <c r="W28" s="196" t="s">
        <v>431</v>
      </c>
      <c r="X28" s="196"/>
      <c r="Y28" s="196"/>
      <c r="Z28" s="196"/>
      <c r="AA28" s="196"/>
      <c r="AB28" s="196"/>
      <c r="AC28" s="196"/>
      <c r="AD28" s="196"/>
      <c r="AE28" s="196"/>
      <c r="AF28" s="196"/>
      <c r="AG28" s="196"/>
      <c r="AH28" s="196"/>
      <c r="AI28" s="196"/>
      <c r="AJ28" s="196"/>
      <c r="AK28" s="196"/>
      <c r="AL28" s="196"/>
      <c r="AM28" s="196"/>
      <c r="AN28" s="197"/>
      <c r="AO28" s="187"/>
      <c r="AP28" s="187" t="s">
        <v>425</v>
      </c>
      <c r="AQ28" s="187"/>
      <c r="AR28" s="187"/>
      <c r="AS28" s="187"/>
      <c r="AT28" s="187"/>
      <c r="AU28" s="187"/>
      <c r="AV28" s="187"/>
      <c r="AW28" s="187"/>
      <c r="AX28" s="187"/>
      <c r="AY28" s="187"/>
      <c r="AZ28" s="187"/>
      <c r="BA28" s="187"/>
      <c r="BB28" s="187"/>
      <c r="BC28" s="187"/>
      <c r="BD28" s="187"/>
      <c r="BE28" s="187"/>
      <c r="BF28" s="187"/>
      <c r="BG28" s="187"/>
      <c r="BH28" s="189"/>
    </row>
    <row r="29" spans="2:60" ht="19.5" customHeight="1">
      <c r="B29" s="190"/>
      <c r="C29" s="354" t="s">
        <v>429</v>
      </c>
      <c r="D29" s="354"/>
      <c r="E29" s="354"/>
      <c r="F29" s="354"/>
      <c r="G29" s="354"/>
      <c r="H29" s="354"/>
      <c r="I29" s="354"/>
      <c r="J29" s="354"/>
      <c r="K29" s="191"/>
      <c r="L29" s="195"/>
      <c r="M29" s="360" t="s">
        <v>428</v>
      </c>
      <c r="N29" s="360"/>
      <c r="O29" s="360"/>
      <c r="P29" s="360"/>
      <c r="Q29" s="360"/>
      <c r="R29" s="360"/>
      <c r="S29" s="360"/>
      <c r="T29" s="360"/>
      <c r="U29" s="196"/>
      <c r="V29" s="195"/>
      <c r="W29" s="196" t="s">
        <v>432</v>
      </c>
      <c r="X29" s="196"/>
      <c r="Y29" s="196"/>
      <c r="Z29" s="196"/>
      <c r="AA29" s="196"/>
      <c r="AB29" s="196"/>
      <c r="AC29" s="196"/>
      <c r="AD29" s="196"/>
      <c r="AE29" s="196"/>
      <c r="AF29" s="196"/>
      <c r="AG29" s="196"/>
      <c r="AH29" s="196"/>
      <c r="AI29" s="196"/>
      <c r="AJ29" s="196"/>
      <c r="AK29" s="196"/>
      <c r="AL29" s="196"/>
      <c r="AM29" s="196"/>
      <c r="AN29" s="197"/>
      <c r="AO29" s="190"/>
      <c r="AP29" s="191"/>
      <c r="AQ29" s="191"/>
      <c r="AR29" s="191"/>
      <c r="AS29" s="191"/>
      <c r="AT29" s="191"/>
      <c r="AU29" s="191"/>
      <c r="AV29" s="191"/>
      <c r="AW29" s="191"/>
      <c r="AX29" s="191"/>
      <c r="AY29" s="191"/>
      <c r="AZ29" s="191"/>
      <c r="BA29" s="191"/>
      <c r="BB29" s="191"/>
      <c r="BC29" s="191"/>
      <c r="BD29" s="191"/>
      <c r="BE29" s="191"/>
      <c r="BF29" s="191"/>
      <c r="BG29" s="191"/>
      <c r="BH29" s="192"/>
    </row>
    <row r="30" spans="2:60" ht="19.5" customHeight="1">
      <c r="B30" s="188"/>
      <c r="C30" s="350" t="s">
        <v>433</v>
      </c>
      <c r="D30" s="350"/>
      <c r="E30" s="350"/>
      <c r="F30" s="350"/>
      <c r="G30" s="350"/>
      <c r="H30" s="350"/>
      <c r="I30" s="350"/>
      <c r="J30" s="350"/>
      <c r="K30" s="187"/>
      <c r="L30" s="195"/>
      <c r="M30" s="358" t="s">
        <v>427</v>
      </c>
      <c r="N30" s="358"/>
      <c r="O30" s="358"/>
      <c r="P30" s="358"/>
      <c r="Q30" s="358"/>
      <c r="R30" s="358"/>
      <c r="S30" s="358"/>
      <c r="T30" s="358"/>
      <c r="U30" s="196"/>
      <c r="V30" s="195"/>
      <c r="W30" s="196" t="s">
        <v>455</v>
      </c>
      <c r="X30" s="196"/>
      <c r="Y30" s="196"/>
      <c r="Z30" s="196"/>
      <c r="AA30" s="196"/>
      <c r="AB30" s="196"/>
      <c r="AC30" s="196"/>
      <c r="AD30" s="196"/>
      <c r="AE30" s="196"/>
      <c r="AF30" s="196"/>
      <c r="AG30" s="196"/>
      <c r="AH30" s="196"/>
      <c r="AI30" s="196"/>
      <c r="AJ30" s="196"/>
      <c r="AK30" s="196"/>
      <c r="AL30" s="196"/>
      <c r="AM30" s="196"/>
      <c r="AN30" s="197"/>
      <c r="AO30" s="187"/>
      <c r="AP30" s="356"/>
      <c r="AQ30" s="364"/>
      <c r="AR30" s="364"/>
      <c r="AS30" s="364"/>
      <c r="AT30" s="364"/>
      <c r="AU30" s="364"/>
      <c r="AV30" s="364"/>
      <c r="AW30" s="364"/>
      <c r="AX30" s="364"/>
      <c r="AY30" s="364"/>
      <c r="AZ30" s="364"/>
      <c r="BA30" s="364"/>
      <c r="BB30" s="364"/>
      <c r="BC30" s="364"/>
      <c r="BD30" s="364"/>
      <c r="BE30" s="364"/>
      <c r="BF30" s="364"/>
      <c r="BG30" s="364"/>
      <c r="BH30" s="189"/>
    </row>
    <row r="31" spans="2:60" ht="19.5" customHeight="1">
      <c r="B31" s="190"/>
      <c r="C31" s="354" t="s">
        <v>434</v>
      </c>
      <c r="D31" s="354"/>
      <c r="E31" s="354"/>
      <c r="F31" s="354"/>
      <c r="G31" s="354"/>
      <c r="H31" s="354"/>
      <c r="I31" s="354"/>
      <c r="J31" s="354"/>
      <c r="K31" s="191"/>
      <c r="L31" s="195"/>
      <c r="M31" s="360" t="s">
        <v>428</v>
      </c>
      <c r="N31" s="360"/>
      <c r="O31" s="360"/>
      <c r="P31" s="360"/>
      <c r="Q31" s="360"/>
      <c r="R31" s="360"/>
      <c r="S31" s="360"/>
      <c r="T31" s="360"/>
      <c r="U31" s="196"/>
      <c r="V31" s="195"/>
      <c r="W31" s="196" t="s">
        <v>432</v>
      </c>
      <c r="X31" s="196"/>
      <c r="Y31" s="196"/>
      <c r="Z31" s="196"/>
      <c r="AA31" s="196"/>
      <c r="AB31" s="196"/>
      <c r="AC31" s="196"/>
      <c r="AD31" s="196"/>
      <c r="AE31" s="196"/>
      <c r="AF31" s="196"/>
      <c r="AG31" s="196"/>
      <c r="AH31" s="196"/>
      <c r="AI31" s="196"/>
      <c r="AJ31" s="196"/>
      <c r="AK31" s="196"/>
      <c r="AL31" s="196"/>
      <c r="AM31" s="196"/>
      <c r="AN31" s="197"/>
      <c r="AO31" s="187"/>
      <c r="AP31" s="356"/>
      <c r="AQ31" s="356"/>
      <c r="AR31" s="356"/>
      <c r="AS31" s="356"/>
      <c r="AT31" s="356"/>
      <c r="AU31" s="356"/>
      <c r="AV31" s="356"/>
      <c r="AW31" s="356"/>
      <c r="AX31" s="356"/>
      <c r="AY31" s="356"/>
      <c r="AZ31" s="356"/>
      <c r="BA31" s="356"/>
      <c r="BB31" s="356"/>
      <c r="BC31" s="356"/>
      <c r="BD31" s="356"/>
      <c r="BE31" s="356"/>
      <c r="BF31" s="356"/>
      <c r="BG31" s="356"/>
      <c r="BH31" s="189"/>
    </row>
    <row r="32" spans="2:60" ht="19.5" customHeight="1">
      <c r="B32" s="188"/>
      <c r="C32" s="350" t="s">
        <v>435</v>
      </c>
      <c r="D32" s="350"/>
      <c r="E32" s="350"/>
      <c r="F32" s="350"/>
      <c r="G32" s="350"/>
      <c r="H32" s="350"/>
      <c r="I32" s="350"/>
      <c r="J32" s="350"/>
      <c r="K32" s="187"/>
      <c r="L32" s="195"/>
      <c r="M32" s="358" t="s">
        <v>427</v>
      </c>
      <c r="N32" s="358"/>
      <c r="O32" s="358"/>
      <c r="P32" s="358"/>
      <c r="Q32" s="358"/>
      <c r="R32" s="358"/>
      <c r="S32" s="358"/>
      <c r="T32" s="358"/>
      <c r="U32" s="196"/>
      <c r="V32" s="195"/>
      <c r="W32" s="196" t="s">
        <v>455</v>
      </c>
      <c r="X32" s="196"/>
      <c r="Y32" s="196"/>
      <c r="Z32" s="196"/>
      <c r="AA32" s="196"/>
      <c r="AB32" s="196"/>
      <c r="AC32" s="196"/>
      <c r="AD32" s="196"/>
      <c r="AE32" s="196"/>
      <c r="AF32" s="196"/>
      <c r="AG32" s="196"/>
      <c r="AH32" s="196"/>
      <c r="AI32" s="196"/>
      <c r="AJ32" s="196"/>
      <c r="AK32" s="196"/>
      <c r="AL32" s="196"/>
      <c r="AM32" s="196"/>
      <c r="AN32" s="197"/>
      <c r="AO32" s="187"/>
      <c r="AP32" s="187"/>
      <c r="AQ32" s="187"/>
      <c r="AR32" s="187"/>
      <c r="AS32" s="187"/>
      <c r="AT32" s="187"/>
      <c r="AU32" s="187"/>
      <c r="AV32" s="187"/>
      <c r="AW32" s="187"/>
      <c r="AX32" s="187"/>
      <c r="AY32" s="187"/>
      <c r="AZ32" s="187"/>
      <c r="BA32" s="187"/>
      <c r="BB32" s="187"/>
      <c r="BC32" s="187"/>
      <c r="BD32" s="187"/>
      <c r="BE32" s="187"/>
      <c r="BF32" s="187"/>
      <c r="BG32" s="187"/>
      <c r="BH32" s="189"/>
    </row>
    <row r="33" spans="2:60" ht="19.5" customHeight="1">
      <c r="B33" s="190"/>
      <c r="C33" s="354" t="s">
        <v>436</v>
      </c>
      <c r="D33" s="354"/>
      <c r="E33" s="354"/>
      <c r="F33" s="354"/>
      <c r="G33" s="354"/>
      <c r="H33" s="354"/>
      <c r="I33" s="354"/>
      <c r="J33" s="354"/>
      <c r="K33" s="191"/>
      <c r="L33" s="195"/>
      <c r="M33" s="360" t="s">
        <v>428</v>
      </c>
      <c r="N33" s="360"/>
      <c r="O33" s="360"/>
      <c r="P33" s="360"/>
      <c r="Q33" s="360"/>
      <c r="R33" s="360"/>
      <c r="S33" s="360"/>
      <c r="T33" s="360"/>
      <c r="U33" s="196"/>
      <c r="V33" s="195"/>
      <c r="W33" s="196" t="s">
        <v>432</v>
      </c>
      <c r="X33" s="196"/>
      <c r="Y33" s="196"/>
      <c r="Z33" s="196"/>
      <c r="AA33" s="196"/>
      <c r="AB33" s="196"/>
      <c r="AC33" s="196"/>
      <c r="AD33" s="196"/>
      <c r="AE33" s="196"/>
      <c r="AF33" s="196"/>
      <c r="AG33" s="196"/>
      <c r="AH33" s="196"/>
      <c r="AI33" s="196"/>
      <c r="AJ33" s="196"/>
      <c r="AK33" s="196"/>
      <c r="AL33" s="196"/>
      <c r="AM33" s="196"/>
      <c r="AN33" s="197"/>
      <c r="AO33" s="190"/>
      <c r="AP33" s="191"/>
      <c r="AQ33" s="191"/>
      <c r="AR33" s="191"/>
      <c r="AS33" s="191"/>
      <c r="AT33" s="191"/>
      <c r="AU33" s="191"/>
      <c r="AV33" s="191"/>
      <c r="AW33" s="191"/>
      <c r="AX33" s="191"/>
      <c r="AY33" s="191"/>
      <c r="AZ33" s="191"/>
      <c r="BA33" s="191"/>
      <c r="BB33" s="191"/>
      <c r="BC33" s="191"/>
      <c r="BD33" s="191"/>
      <c r="BE33" s="191"/>
      <c r="BF33" s="191"/>
      <c r="BG33" s="191"/>
      <c r="BH33" s="192"/>
    </row>
    <row r="34" spans="2:60" ht="19.5" customHeight="1">
      <c r="B34" s="188"/>
      <c r="C34" s="365" t="s">
        <v>437</v>
      </c>
      <c r="D34" s="365"/>
      <c r="E34" s="365"/>
      <c r="F34" s="365"/>
      <c r="G34" s="365"/>
      <c r="H34" s="365"/>
      <c r="I34" s="365"/>
      <c r="J34" s="365"/>
      <c r="K34" s="187"/>
      <c r="L34" s="195"/>
      <c r="M34" s="358" t="s">
        <v>439</v>
      </c>
      <c r="N34" s="358"/>
      <c r="O34" s="358"/>
      <c r="P34" s="358"/>
      <c r="Q34" s="358"/>
      <c r="R34" s="358"/>
      <c r="S34" s="358"/>
      <c r="T34" s="358"/>
      <c r="U34" s="196"/>
      <c r="V34" s="195"/>
      <c r="W34" s="196" t="s">
        <v>441</v>
      </c>
      <c r="X34" s="196"/>
      <c r="Y34" s="196"/>
      <c r="Z34" s="196"/>
      <c r="AA34" s="196"/>
      <c r="AB34" s="196"/>
      <c r="AC34" s="196"/>
      <c r="AD34" s="196"/>
      <c r="AE34" s="196"/>
      <c r="AF34" s="196"/>
      <c r="AG34" s="196"/>
      <c r="AH34" s="196"/>
      <c r="AI34" s="196"/>
      <c r="AJ34" s="196"/>
      <c r="AK34" s="196"/>
      <c r="AL34" s="196"/>
      <c r="AM34" s="196"/>
      <c r="AN34" s="197"/>
      <c r="AO34" s="187"/>
      <c r="AP34" s="187" t="s">
        <v>441</v>
      </c>
      <c r="AQ34" s="187"/>
      <c r="AR34" s="187"/>
      <c r="AS34" s="187"/>
      <c r="AT34" s="187"/>
      <c r="AU34" s="187"/>
      <c r="AV34" s="187"/>
      <c r="AW34" s="187"/>
      <c r="AX34" s="187"/>
      <c r="AY34" s="187"/>
      <c r="AZ34" s="187"/>
      <c r="BA34" s="187"/>
      <c r="BB34" s="187"/>
      <c r="BC34" s="187"/>
      <c r="BD34" s="187"/>
      <c r="BE34" s="187"/>
      <c r="BF34" s="187"/>
      <c r="BG34" s="187"/>
      <c r="BH34" s="189"/>
    </row>
    <row r="35" spans="2:60" ht="19.5" customHeight="1">
      <c r="B35" s="188"/>
      <c r="C35" s="361" t="s">
        <v>438</v>
      </c>
      <c r="D35" s="361"/>
      <c r="E35" s="361"/>
      <c r="F35" s="361"/>
      <c r="G35" s="361"/>
      <c r="H35" s="361"/>
      <c r="I35" s="361"/>
      <c r="J35" s="361"/>
      <c r="K35" s="187"/>
      <c r="L35" s="195"/>
      <c r="M35" s="360" t="s">
        <v>440</v>
      </c>
      <c r="N35" s="360"/>
      <c r="O35" s="360"/>
      <c r="P35" s="360"/>
      <c r="Q35" s="360"/>
      <c r="R35" s="360"/>
      <c r="S35" s="360"/>
      <c r="T35" s="360"/>
      <c r="U35" s="196"/>
      <c r="V35" s="195"/>
      <c r="W35" s="196" t="s">
        <v>442</v>
      </c>
      <c r="X35" s="196"/>
      <c r="Y35" s="196"/>
      <c r="Z35" s="196"/>
      <c r="AA35" s="196"/>
      <c r="AB35" s="196"/>
      <c r="AC35" s="196"/>
      <c r="AD35" s="196"/>
      <c r="AE35" s="196"/>
      <c r="AF35" s="196"/>
      <c r="AG35" s="196"/>
      <c r="AH35" s="196"/>
      <c r="AI35" s="196"/>
      <c r="AJ35" s="196"/>
      <c r="AK35" s="196"/>
      <c r="AL35" s="196"/>
      <c r="AM35" s="196"/>
      <c r="AN35" s="197"/>
      <c r="AO35" s="190"/>
      <c r="AP35" s="191"/>
      <c r="AQ35" s="191"/>
      <c r="AR35" s="191"/>
      <c r="AS35" s="191"/>
      <c r="AT35" s="191"/>
      <c r="AU35" s="191"/>
      <c r="AV35" s="191"/>
      <c r="AW35" s="191"/>
      <c r="AX35" s="191"/>
      <c r="AY35" s="191"/>
      <c r="AZ35" s="191"/>
      <c r="BA35" s="191"/>
      <c r="BB35" s="191"/>
      <c r="BC35" s="191"/>
      <c r="BD35" s="191"/>
      <c r="BE35" s="191"/>
      <c r="BF35" s="191"/>
      <c r="BG35" s="191"/>
      <c r="BH35" s="192"/>
    </row>
    <row r="36" spans="2:60" ht="19.5" customHeight="1">
      <c r="B36" s="195"/>
      <c r="C36" s="358" t="s">
        <v>443</v>
      </c>
      <c r="D36" s="358"/>
      <c r="E36" s="358"/>
      <c r="F36" s="358"/>
      <c r="G36" s="358"/>
      <c r="H36" s="358"/>
      <c r="I36" s="358"/>
      <c r="J36" s="358"/>
      <c r="K36" s="358"/>
      <c r="L36" s="358"/>
      <c r="M36" s="358"/>
      <c r="N36" s="358"/>
      <c r="O36" s="358"/>
      <c r="P36" s="358"/>
      <c r="Q36" s="358"/>
      <c r="R36" s="358"/>
      <c r="S36" s="358"/>
      <c r="T36" s="358"/>
      <c r="U36" s="187"/>
      <c r="V36" s="188"/>
      <c r="W36" s="356"/>
      <c r="X36" s="356"/>
      <c r="Y36" s="356"/>
      <c r="Z36" s="356"/>
      <c r="AA36" s="356"/>
      <c r="AB36" s="356"/>
      <c r="AC36" s="356"/>
      <c r="AD36" s="356"/>
      <c r="AE36" s="356"/>
      <c r="AF36" s="356"/>
      <c r="AG36" s="356"/>
      <c r="AH36" s="356"/>
      <c r="AI36" s="356"/>
      <c r="AJ36" s="356"/>
      <c r="AK36" s="356"/>
      <c r="AL36" s="356"/>
      <c r="AM36" s="356"/>
      <c r="AN36" s="189"/>
      <c r="AO36" s="187"/>
      <c r="AP36" s="187"/>
      <c r="AQ36" s="187"/>
      <c r="AR36" s="187"/>
      <c r="AS36" s="187"/>
      <c r="AT36" s="187"/>
      <c r="AU36" s="187"/>
      <c r="AV36" s="187"/>
      <c r="AW36" s="187"/>
      <c r="AX36" s="187"/>
      <c r="AY36" s="187"/>
      <c r="AZ36" s="187"/>
      <c r="BA36" s="187"/>
      <c r="BB36" s="187"/>
      <c r="BC36" s="187"/>
      <c r="BD36" s="187"/>
      <c r="BE36" s="187"/>
      <c r="BF36" s="187"/>
      <c r="BG36" s="187"/>
      <c r="BH36" s="189"/>
    </row>
    <row r="37" spans="2:60" ht="19.5" customHeight="1">
      <c r="B37" s="195"/>
      <c r="C37" s="358" t="s">
        <v>444</v>
      </c>
      <c r="D37" s="358"/>
      <c r="E37" s="358"/>
      <c r="F37" s="358"/>
      <c r="G37" s="358"/>
      <c r="H37" s="358"/>
      <c r="I37" s="358"/>
      <c r="J37" s="358"/>
      <c r="K37" s="358"/>
      <c r="L37" s="358"/>
      <c r="M37" s="358"/>
      <c r="N37" s="358"/>
      <c r="O37" s="358"/>
      <c r="P37" s="358"/>
      <c r="Q37" s="358"/>
      <c r="R37" s="358"/>
      <c r="S37" s="358"/>
      <c r="T37" s="358"/>
      <c r="U37" s="196"/>
      <c r="V37" s="188"/>
      <c r="W37" s="187"/>
      <c r="X37" s="187"/>
      <c r="Y37" s="187"/>
      <c r="Z37" s="187"/>
      <c r="AA37" s="187"/>
      <c r="AB37" s="187"/>
      <c r="AC37" s="187"/>
      <c r="AD37" s="187"/>
      <c r="AE37" s="187"/>
      <c r="AF37" s="187"/>
      <c r="AG37" s="187"/>
      <c r="AH37" s="187"/>
      <c r="AI37" s="187"/>
      <c r="AJ37" s="187"/>
      <c r="AK37" s="187"/>
      <c r="AL37" s="187"/>
      <c r="AM37" s="187"/>
      <c r="AN37" s="189"/>
      <c r="AO37" s="187"/>
      <c r="AP37" s="213"/>
      <c r="AQ37" s="187"/>
      <c r="AR37" s="187"/>
      <c r="AS37" s="187"/>
      <c r="AT37" s="187"/>
      <c r="AU37" s="187"/>
      <c r="AV37" s="187"/>
      <c r="AW37" s="187"/>
      <c r="AX37" s="187"/>
      <c r="AY37" s="187"/>
      <c r="AZ37" s="187"/>
      <c r="BA37" s="187"/>
      <c r="BB37" s="187"/>
      <c r="BC37" s="187"/>
      <c r="BD37" s="187"/>
      <c r="BE37" s="187"/>
      <c r="BF37" s="187"/>
      <c r="BG37" s="187"/>
      <c r="BH37" s="189"/>
    </row>
    <row r="38" spans="2:60" ht="19.5" customHeight="1">
      <c r="B38" s="195"/>
      <c r="C38" s="358" t="s">
        <v>445</v>
      </c>
      <c r="D38" s="358"/>
      <c r="E38" s="358"/>
      <c r="F38" s="358"/>
      <c r="G38" s="358"/>
      <c r="H38" s="358"/>
      <c r="I38" s="358"/>
      <c r="J38" s="358"/>
      <c r="K38" s="358"/>
      <c r="L38" s="358"/>
      <c r="M38" s="358"/>
      <c r="N38" s="358"/>
      <c r="O38" s="358"/>
      <c r="P38" s="358"/>
      <c r="Q38" s="358"/>
      <c r="R38" s="358"/>
      <c r="S38" s="358"/>
      <c r="T38" s="358"/>
      <c r="U38" s="196"/>
      <c r="V38" s="188"/>
      <c r="W38" s="187"/>
      <c r="X38" s="187"/>
      <c r="Y38" s="187"/>
      <c r="Z38" s="187"/>
      <c r="AA38" s="187"/>
      <c r="AB38" s="187"/>
      <c r="AC38" s="187"/>
      <c r="AD38" s="187"/>
      <c r="AE38" s="187"/>
      <c r="AF38" s="187"/>
      <c r="AG38" s="187"/>
      <c r="AH38" s="187"/>
      <c r="AI38" s="187"/>
      <c r="AJ38" s="187"/>
      <c r="AK38" s="187"/>
      <c r="AL38" s="187"/>
      <c r="AM38" s="187"/>
      <c r="AN38" s="189"/>
      <c r="AO38" s="187"/>
      <c r="AP38" s="187"/>
      <c r="AQ38" s="187"/>
      <c r="AR38" s="187"/>
      <c r="AS38" s="187"/>
      <c r="AT38" s="187"/>
      <c r="AU38" s="187"/>
      <c r="AV38" s="187"/>
      <c r="AW38" s="187"/>
      <c r="AX38" s="187"/>
      <c r="AY38" s="187"/>
      <c r="AZ38" s="187"/>
      <c r="BA38" s="187"/>
      <c r="BB38" s="187"/>
      <c r="BC38" s="187"/>
      <c r="BD38" s="187"/>
      <c r="BE38" s="187"/>
      <c r="BF38" s="187"/>
      <c r="BG38" s="187"/>
      <c r="BH38" s="189"/>
    </row>
    <row r="39" spans="2:60" ht="19.5" customHeight="1">
      <c r="B39" s="195"/>
      <c r="C39" s="358" t="s">
        <v>446</v>
      </c>
      <c r="D39" s="358"/>
      <c r="E39" s="358"/>
      <c r="F39" s="358"/>
      <c r="G39" s="358"/>
      <c r="H39" s="358"/>
      <c r="I39" s="358"/>
      <c r="J39" s="358"/>
      <c r="K39" s="358"/>
      <c r="L39" s="358"/>
      <c r="M39" s="358"/>
      <c r="N39" s="358"/>
      <c r="O39" s="358"/>
      <c r="P39" s="358"/>
      <c r="Q39" s="358"/>
      <c r="R39" s="358"/>
      <c r="S39" s="358"/>
      <c r="T39" s="358"/>
      <c r="U39" s="196"/>
      <c r="V39" s="190"/>
      <c r="W39" s="191"/>
      <c r="X39" s="191"/>
      <c r="Y39" s="191"/>
      <c r="Z39" s="191"/>
      <c r="AA39" s="191"/>
      <c r="AB39" s="191"/>
      <c r="AC39" s="191"/>
      <c r="AD39" s="191"/>
      <c r="AE39" s="191"/>
      <c r="AF39" s="191"/>
      <c r="AG39" s="191"/>
      <c r="AH39" s="191"/>
      <c r="AI39" s="191"/>
      <c r="AJ39" s="191"/>
      <c r="AK39" s="191"/>
      <c r="AL39" s="191"/>
      <c r="AM39" s="191"/>
      <c r="AN39" s="192"/>
      <c r="AO39" s="191"/>
      <c r="AP39" s="191"/>
      <c r="AQ39" s="191"/>
      <c r="AR39" s="191"/>
      <c r="AS39" s="191"/>
      <c r="AT39" s="191"/>
      <c r="AU39" s="191"/>
      <c r="AV39" s="191"/>
      <c r="AW39" s="191"/>
      <c r="AX39" s="191"/>
      <c r="AY39" s="191"/>
      <c r="AZ39" s="191"/>
      <c r="BA39" s="191"/>
      <c r="BB39" s="191"/>
      <c r="BC39" s="191"/>
      <c r="BD39" s="191"/>
      <c r="BE39" s="191"/>
      <c r="BF39" s="191"/>
      <c r="BG39" s="191"/>
      <c r="BH39" s="192"/>
    </row>
    <row r="40" ht="27" customHeight="1"/>
    <row r="41" spans="2:15" ht="15.75" customHeight="1">
      <c r="B41" s="123" t="s">
        <v>599</v>
      </c>
      <c r="C41" s="214"/>
      <c r="D41" s="214"/>
      <c r="E41" s="214"/>
      <c r="F41" s="214"/>
      <c r="G41" s="214"/>
      <c r="H41" s="214"/>
      <c r="I41" s="214"/>
      <c r="J41" s="214"/>
      <c r="K41" s="214"/>
      <c r="L41" s="214"/>
      <c r="M41" s="214"/>
      <c r="N41" s="214"/>
      <c r="O41" s="214"/>
    </row>
    <row r="42" ht="13.5" customHeight="1"/>
    <row r="43" ht="13.5" customHeight="1">
      <c r="D43" s="186" t="s">
        <v>640</v>
      </c>
    </row>
    <row r="44" ht="13.5" customHeight="1">
      <c r="C44" s="186" t="s">
        <v>641</v>
      </c>
    </row>
    <row r="45" ht="13.5" customHeight="1">
      <c r="D45" s="186" t="s">
        <v>600</v>
      </c>
    </row>
    <row r="46" ht="13.5" customHeight="1">
      <c r="C46" s="186" t="s">
        <v>601</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AO24:BH24"/>
    <mergeCell ref="B16:U16"/>
    <mergeCell ref="C33:J33"/>
    <mergeCell ref="AP17:BG17"/>
    <mergeCell ref="M31:T31"/>
    <mergeCell ref="M32:T32"/>
    <mergeCell ref="M33:T33"/>
    <mergeCell ref="C17:T17"/>
    <mergeCell ref="C31:J31"/>
    <mergeCell ref="C30:J30"/>
    <mergeCell ref="C32:J32"/>
    <mergeCell ref="AP30:BG30"/>
    <mergeCell ref="C34:J34"/>
    <mergeCell ref="AP31:BG31"/>
    <mergeCell ref="C39:T39"/>
    <mergeCell ref="C38:T38"/>
    <mergeCell ref="C37:T37"/>
    <mergeCell ref="C36:T36"/>
    <mergeCell ref="W36:AM36"/>
    <mergeCell ref="M34:T34"/>
    <mergeCell ref="M35:T35"/>
    <mergeCell ref="C35:J35"/>
    <mergeCell ref="B3:O3"/>
    <mergeCell ref="C9:J9"/>
    <mergeCell ref="C10:J10"/>
    <mergeCell ref="L10:BH10"/>
    <mergeCell ref="C5:J5"/>
    <mergeCell ref="C6:J6"/>
    <mergeCell ref="C7:J7"/>
    <mergeCell ref="C8:J8"/>
    <mergeCell ref="C12:J12"/>
    <mergeCell ref="M30:T30"/>
    <mergeCell ref="C25:T25"/>
    <mergeCell ref="C28:J28"/>
    <mergeCell ref="C29:J29"/>
    <mergeCell ref="M28:T28"/>
    <mergeCell ref="M29:T29"/>
    <mergeCell ref="C27:T27"/>
    <mergeCell ref="AO16:BH16"/>
    <mergeCell ref="B24:U24"/>
    <mergeCell ref="V24:AN24"/>
    <mergeCell ref="W20:AM20"/>
    <mergeCell ref="V16:AN16"/>
    <mergeCell ref="B23:BH23"/>
    <mergeCell ref="M20:T20"/>
    <mergeCell ref="M21:T21"/>
    <mergeCell ref="M19:T19"/>
    <mergeCell ref="C20:J20"/>
  </mergeCells>
  <printOptions horizontalCentered="1"/>
  <pageMargins left="0.4724409448818898" right="0.4724409448818898" top="0.7086614173228347" bottom="0.5905511811023623" header="0" footer="0"/>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K69"/>
  <sheetViews>
    <sheetView zoomScalePageLayoutView="0" workbookViewId="0" topLeftCell="A1">
      <selection activeCell="B3" sqref="B3:BJ3"/>
    </sheetView>
  </sheetViews>
  <sheetFormatPr defaultColWidth="9.00390625" defaultRowHeight="13.5"/>
  <cols>
    <col min="1" max="63" width="1.625" style="2" customWidth="1"/>
    <col min="64" max="16384" width="9.00390625" style="2" customWidth="1"/>
  </cols>
  <sheetData>
    <row r="1" spans="1:60" ht="10.5" customHeight="1">
      <c r="A1" s="331" t="s">
        <v>486</v>
      </c>
      <c r="C1" s="70"/>
      <c r="AW1" s="70"/>
      <c r="AX1" s="70"/>
      <c r="AY1" s="70"/>
      <c r="AZ1" s="70"/>
      <c r="BA1" s="70"/>
      <c r="BB1" s="70"/>
      <c r="BC1" s="70"/>
      <c r="BD1" s="70"/>
      <c r="BE1" s="70"/>
      <c r="BF1" s="70"/>
      <c r="BG1" s="70"/>
      <c r="BH1" s="27"/>
    </row>
    <row r="2" ht="10.5" customHeight="1"/>
    <row r="3" spans="2:62" s="4" customFormat="1" ht="18" customHeight="1">
      <c r="B3" s="401" t="s">
        <v>400</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row>
    <row r="4" spans="61:62" s="5" customFormat="1" ht="9.75" customHeight="1">
      <c r="BI4" s="6"/>
      <c r="BJ4" s="6" t="s">
        <v>177</v>
      </c>
    </row>
    <row r="5" spans="2:62" ht="15" customHeight="1">
      <c r="B5" s="417" t="s">
        <v>605</v>
      </c>
      <c r="C5" s="405"/>
      <c r="D5" s="405"/>
      <c r="E5" s="405"/>
      <c r="F5" s="405"/>
      <c r="G5" s="405"/>
      <c r="H5" s="405"/>
      <c r="I5" s="405"/>
      <c r="J5" s="403"/>
      <c r="K5" s="405" t="s">
        <v>178</v>
      </c>
      <c r="L5" s="405"/>
      <c r="M5" s="405"/>
      <c r="N5" s="405"/>
      <c r="O5" s="405"/>
      <c r="P5" s="405"/>
      <c r="Q5" s="405"/>
      <c r="R5" s="403" t="s">
        <v>175</v>
      </c>
      <c r="S5" s="404"/>
      <c r="T5" s="404"/>
      <c r="U5" s="404"/>
      <c r="V5" s="404"/>
      <c r="W5" s="404"/>
      <c r="X5" s="404"/>
      <c r="Y5" s="404"/>
      <c r="Z5" s="404"/>
      <c r="AA5" s="404"/>
      <c r="AB5" s="404"/>
      <c r="AC5" s="404"/>
      <c r="AD5" s="404"/>
      <c r="AE5" s="404"/>
      <c r="AF5" s="404"/>
      <c r="AG5" s="404"/>
      <c r="AH5" s="404"/>
      <c r="AI5" s="404"/>
      <c r="AJ5" s="404"/>
      <c r="AK5" s="404"/>
      <c r="AL5" s="407"/>
      <c r="AM5" s="411" t="s">
        <v>606</v>
      </c>
      <c r="AN5" s="412"/>
      <c r="AO5" s="412"/>
      <c r="AP5" s="412"/>
      <c r="AQ5" s="412"/>
      <c r="AR5" s="413"/>
      <c r="AS5" s="411" t="s">
        <v>347</v>
      </c>
      <c r="AT5" s="412"/>
      <c r="AU5" s="412"/>
      <c r="AV5" s="412"/>
      <c r="AW5" s="412"/>
      <c r="AX5" s="413"/>
      <c r="AY5" s="403" t="s">
        <v>180</v>
      </c>
      <c r="AZ5" s="404"/>
      <c r="BA5" s="404"/>
      <c r="BB5" s="404"/>
      <c r="BC5" s="404"/>
      <c r="BD5" s="404"/>
      <c r="BE5" s="404"/>
      <c r="BF5" s="404"/>
      <c r="BG5" s="404"/>
      <c r="BH5" s="404"/>
      <c r="BI5" s="404"/>
      <c r="BJ5" s="404"/>
    </row>
    <row r="6" spans="2:62" ht="15" customHeight="1">
      <c r="B6" s="418"/>
      <c r="C6" s="406"/>
      <c r="D6" s="406"/>
      <c r="E6" s="406"/>
      <c r="F6" s="406"/>
      <c r="G6" s="406"/>
      <c r="H6" s="406"/>
      <c r="I6" s="406"/>
      <c r="J6" s="370"/>
      <c r="K6" s="406"/>
      <c r="L6" s="406"/>
      <c r="M6" s="406"/>
      <c r="N6" s="406"/>
      <c r="O6" s="406"/>
      <c r="P6" s="406"/>
      <c r="Q6" s="406"/>
      <c r="R6" s="406" t="s">
        <v>363</v>
      </c>
      <c r="S6" s="406"/>
      <c r="T6" s="406"/>
      <c r="U6" s="406"/>
      <c r="V6" s="406"/>
      <c r="W6" s="406"/>
      <c r="X6" s="406"/>
      <c r="Y6" s="408" t="s">
        <v>182</v>
      </c>
      <c r="Z6" s="409"/>
      <c r="AA6" s="409"/>
      <c r="AB6" s="409"/>
      <c r="AC6" s="409"/>
      <c r="AD6" s="409"/>
      <c r="AE6" s="410"/>
      <c r="AF6" s="408" t="s">
        <v>183</v>
      </c>
      <c r="AG6" s="409"/>
      <c r="AH6" s="409"/>
      <c r="AI6" s="409"/>
      <c r="AJ6" s="409"/>
      <c r="AK6" s="409"/>
      <c r="AL6" s="410"/>
      <c r="AM6" s="414"/>
      <c r="AN6" s="415"/>
      <c r="AO6" s="415"/>
      <c r="AP6" s="415"/>
      <c r="AQ6" s="415"/>
      <c r="AR6" s="416"/>
      <c r="AS6" s="414"/>
      <c r="AT6" s="415"/>
      <c r="AU6" s="415"/>
      <c r="AV6" s="415"/>
      <c r="AW6" s="415"/>
      <c r="AX6" s="416"/>
      <c r="AY6" s="370" t="s">
        <v>185</v>
      </c>
      <c r="AZ6" s="371"/>
      <c r="BA6" s="371"/>
      <c r="BB6" s="371"/>
      <c r="BC6" s="371"/>
      <c r="BD6" s="372"/>
      <c r="BE6" s="370" t="s">
        <v>175</v>
      </c>
      <c r="BF6" s="371"/>
      <c r="BG6" s="371"/>
      <c r="BH6" s="371"/>
      <c r="BI6" s="371"/>
      <c r="BJ6" s="371"/>
    </row>
    <row r="7" spans="8:17" ht="9.75" customHeight="1">
      <c r="H7" s="5"/>
      <c r="I7" s="5"/>
      <c r="J7" s="5"/>
      <c r="K7" s="138"/>
      <c r="L7" s="5"/>
      <c r="M7" s="5"/>
      <c r="N7" s="5"/>
      <c r="O7" s="5"/>
      <c r="P7" s="5"/>
      <c r="Q7" s="5"/>
    </row>
    <row r="8" spans="3:62" ht="13.5" customHeight="1">
      <c r="C8" s="398" t="s">
        <v>412</v>
      </c>
      <c r="D8" s="398"/>
      <c r="E8" s="398"/>
      <c r="F8" s="384" t="s">
        <v>607</v>
      </c>
      <c r="G8" s="384"/>
      <c r="H8" s="368" t="s">
        <v>186</v>
      </c>
      <c r="I8" s="368"/>
      <c r="J8" s="10"/>
      <c r="K8" s="399" t="s">
        <v>608</v>
      </c>
      <c r="L8" s="400"/>
      <c r="M8" s="400"/>
      <c r="N8" s="400"/>
      <c r="O8" s="400"/>
      <c r="P8" s="400"/>
      <c r="Q8" s="400"/>
      <c r="R8" s="395">
        <f>SUM(Y8:AJ8)</f>
        <v>25748</v>
      </c>
      <c r="S8" s="395"/>
      <c r="T8" s="395"/>
      <c r="U8" s="395"/>
      <c r="V8" s="395"/>
      <c r="W8" s="395"/>
      <c r="X8" s="395"/>
      <c r="Y8" s="395">
        <v>13136</v>
      </c>
      <c r="Z8" s="374"/>
      <c r="AA8" s="374"/>
      <c r="AB8" s="374"/>
      <c r="AC8" s="374"/>
      <c r="AD8" s="374"/>
      <c r="AE8" s="374"/>
      <c r="AF8" s="395">
        <v>12612</v>
      </c>
      <c r="AG8" s="374"/>
      <c r="AH8" s="374"/>
      <c r="AI8" s="374"/>
      <c r="AJ8" s="374"/>
      <c r="AK8" s="374"/>
      <c r="AL8" s="374"/>
      <c r="AM8" s="395">
        <v>548</v>
      </c>
      <c r="AN8" s="374"/>
      <c r="AO8" s="374"/>
      <c r="AP8" s="374"/>
      <c r="AQ8" s="374"/>
      <c r="AR8" s="374"/>
      <c r="AS8" s="433" t="s">
        <v>608</v>
      </c>
      <c r="AT8" s="374"/>
      <c r="AU8" s="374"/>
      <c r="AV8" s="374"/>
      <c r="AW8" s="374"/>
      <c r="AX8" s="374"/>
      <c r="AY8" s="433" t="s">
        <v>631</v>
      </c>
      <c r="AZ8" s="374"/>
      <c r="BA8" s="374"/>
      <c r="BB8" s="374"/>
      <c r="BC8" s="374"/>
      <c r="BD8" s="374"/>
      <c r="BE8" s="433" t="s">
        <v>631</v>
      </c>
      <c r="BF8" s="374"/>
      <c r="BG8" s="374"/>
      <c r="BH8" s="374"/>
      <c r="BI8" s="374"/>
      <c r="BJ8" s="374"/>
    </row>
    <row r="9" spans="3:62" ht="13.5" customHeight="1">
      <c r="C9" s="14"/>
      <c r="D9" s="14"/>
      <c r="E9" s="14"/>
      <c r="F9" s="384" t="s">
        <v>609</v>
      </c>
      <c r="G9" s="384"/>
      <c r="H9" s="5"/>
      <c r="I9" s="5"/>
      <c r="J9" s="5"/>
      <c r="K9" s="399" t="s">
        <v>608</v>
      </c>
      <c r="L9" s="400"/>
      <c r="M9" s="400"/>
      <c r="N9" s="400"/>
      <c r="O9" s="400"/>
      <c r="P9" s="400"/>
      <c r="Q9" s="400"/>
      <c r="R9" s="395">
        <f>SUM(Y9:AJ9)</f>
        <v>39226</v>
      </c>
      <c r="S9" s="395"/>
      <c r="T9" s="395"/>
      <c r="U9" s="395"/>
      <c r="V9" s="395"/>
      <c r="W9" s="395"/>
      <c r="X9" s="395"/>
      <c r="Y9" s="395">
        <v>20088</v>
      </c>
      <c r="Z9" s="374"/>
      <c r="AA9" s="374"/>
      <c r="AB9" s="374"/>
      <c r="AC9" s="374"/>
      <c r="AD9" s="374"/>
      <c r="AE9" s="374"/>
      <c r="AF9" s="395">
        <v>19138</v>
      </c>
      <c r="AG9" s="374"/>
      <c r="AH9" s="374"/>
      <c r="AI9" s="374"/>
      <c r="AJ9" s="374"/>
      <c r="AK9" s="374"/>
      <c r="AL9" s="374"/>
      <c r="AM9" s="395">
        <v>835</v>
      </c>
      <c r="AN9" s="374"/>
      <c r="AO9" s="374"/>
      <c r="AP9" s="374"/>
      <c r="AQ9" s="374"/>
      <c r="AR9" s="374"/>
      <c r="AS9" s="433" t="s">
        <v>631</v>
      </c>
      <c r="AT9" s="374"/>
      <c r="AU9" s="374"/>
      <c r="AV9" s="374"/>
      <c r="AW9" s="374"/>
      <c r="AX9" s="374"/>
      <c r="AY9" s="433" t="s">
        <v>631</v>
      </c>
      <c r="AZ9" s="374"/>
      <c r="BA9" s="374"/>
      <c r="BB9" s="374"/>
      <c r="BC9" s="374"/>
      <c r="BD9" s="374"/>
      <c r="BE9" s="395">
        <v>13478</v>
      </c>
      <c r="BF9" s="374"/>
      <c r="BG9" s="374"/>
      <c r="BH9" s="374"/>
      <c r="BI9" s="374"/>
      <c r="BJ9" s="374"/>
    </row>
    <row r="10" spans="3:62" ht="13.5" customHeight="1">
      <c r="C10" s="398" t="s">
        <v>413</v>
      </c>
      <c r="D10" s="398"/>
      <c r="E10" s="398"/>
      <c r="F10" s="384" t="s">
        <v>610</v>
      </c>
      <c r="G10" s="384"/>
      <c r="H10" s="368" t="s">
        <v>186</v>
      </c>
      <c r="I10" s="368"/>
      <c r="J10" s="10"/>
      <c r="K10" s="399" t="s">
        <v>608</v>
      </c>
      <c r="L10" s="400"/>
      <c r="M10" s="400"/>
      <c r="N10" s="400"/>
      <c r="O10" s="400"/>
      <c r="P10" s="400"/>
      <c r="Q10" s="400"/>
      <c r="R10" s="395">
        <f>SUM(Y10:AJ10)</f>
        <v>54783</v>
      </c>
      <c r="S10" s="395"/>
      <c r="T10" s="395"/>
      <c r="U10" s="395"/>
      <c r="V10" s="395"/>
      <c r="W10" s="395"/>
      <c r="X10" s="395"/>
      <c r="Y10" s="395">
        <v>28345</v>
      </c>
      <c r="Z10" s="374"/>
      <c r="AA10" s="374"/>
      <c r="AB10" s="374"/>
      <c r="AC10" s="374"/>
      <c r="AD10" s="374"/>
      <c r="AE10" s="374"/>
      <c r="AF10" s="395">
        <v>26438</v>
      </c>
      <c r="AG10" s="374"/>
      <c r="AH10" s="374"/>
      <c r="AI10" s="374"/>
      <c r="AJ10" s="374"/>
      <c r="AK10" s="374"/>
      <c r="AL10" s="374"/>
      <c r="AM10" s="395">
        <v>1166</v>
      </c>
      <c r="AN10" s="374"/>
      <c r="AO10" s="374"/>
      <c r="AP10" s="374"/>
      <c r="AQ10" s="374"/>
      <c r="AR10" s="374"/>
      <c r="AS10" s="433" t="s">
        <v>631</v>
      </c>
      <c r="AT10" s="374"/>
      <c r="AU10" s="374"/>
      <c r="AV10" s="374"/>
      <c r="AW10" s="374"/>
      <c r="AX10" s="374"/>
      <c r="AY10" s="433" t="s">
        <v>631</v>
      </c>
      <c r="AZ10" s="374"/>
      <c r="BA10" s="374"/>
      <c r="BB10" s="374"/>
      <c r="BC10" s="374"/>
      <c r="BD10" s="374"/>
      <c r="BE10" s="395">
        <v>15557</v>
      </c>
      <c r="BF10" s="374"/>
      <c r="BG10" s="374"/>
      <c r="BH10" s="374"/>
      <c r="BI10" s="374"/>
      <c r="BJ10" s="374"/>
    </row>
    <row r="11" spans="3:62" ht="13.5" customHeight="1">
      <c r="C11" s="14"/>
      <c r="D11" s="14"/>
      <c r="E11" s="14"/>
      <c r="F11" s="384" t="s">
        <v>611</v>
      </c>
      <c r="G11" s="384"/>
      <c r="H11" s="5"/>
      <c r="I11" s="5"/>
      <c r="J11" s="5"/>
      <c r="K11" s="399" t="s">
        <v>608</v>
      </c>
      <c r="L11" s="400"/>
      <c r="M11" s="400"/>
      <c r="N11" s="400"/>
      <c r="O11" s="400"/>
      <c r="P11" s="400"/>
      <c r="Q11" s="400"/>
      <c r="R11" s="395">
        <f>SUM(Y11:AJ11)</f>
        <v>72737</v>
      </c>
      <c r="S11" s="395"/>
      <c r="T11" s="395"/>
      <c r="U11" s="395"/>
      <c r="V11" s="395"/>
      <c r="W11" s="395"/>
      <c r="X11" s="395"/>
      <c r="Y11" s="395">
        <v>37393</v>
      </c>
      <c r="Z11" s="374"/>
      <c r="AA11" s="374"/>
      <c r="AB11" s="374"/>
      <c r="AC11" s="374"/>
      <c r="AD11" s="374"/>
      <c r="AE11" s="374"/>
      <c r="AF11" s="395">
        <v>35344</v>
      </c>
      <c r="AG11" s="374"/>
      <c r="AH11" s="374"/>
      <c r="AI11" s="374"/>
      <c r="AJ11" s="374"/>
      <c r="AK11" s="374"/>
      <c r="AL11" s="374"/>
      <c r="AM11" s="395">
        <v>1548</v>
      </c>
      <c r="AN11" s="374"/>
      <c r="AO11" s="374"/>
      <c r="AP11" s="374"/>
      <c r="AQ11" s="374"/>
      <c r="AR11" s="374"/>
      <c r="AS11" s="433" t="s">
        <v>631</v>
      </c>
      <c r="AT11" s="374"/>
      <c r="AU11" s="374"/>
      <c r="AV11" s="374"/>
      <c r="AW11" s="374"/>
      <c r="AX11" s="374"/>
      <c r="AY11" s="433" t="s">
        <v>631</v>
      </c>
      <c r="AZ11" s="374"/>
      <c r="BA11" s="374"/>
      <c r="BB11" s="374"/>
      <c r="BC11" s="374"/>
      <c r="BD11" s="374"/>
      <c r="BE11" s="395">
        <v>17954</v>
      </c>
      <c r="BF11" s="374"/>
      <c r="BG11" s="374"/>
      <c r="BH11" s="374"/>
      <c r="BI11" s="374"/>
      <c r="BJ11" s="374"/>
    </row>
    <row r="12" spans="3:62" ht="13.5" customHeight="1">
      <c r="C12" s="14"/>
      <c r="D12" s="14"/>
      <c r="E12" s="14"/>
      <c r="F12" s="384" t="s">
        <v>612</v>
      </c>
      <c r="G12" s="384"/>
      <c r="H12" s="5"/>
      <c r="I12" s="5"/>
      <c r="J12" s="5"/>
      <c r="K12" s="399" t="s">
        <v>608</v>
      </c>
      <c r="L12" s="400"/>
      <c r="M12" s="400"/>
      <c r="N12" s="400"/>
      <c r="O12" s="400"/>
      <c r="P12" s="400"/>
      <c r="Q12" s="400"/>
      <c r="R12" s="395">
        <f>SUM(Y12:AJ12)</f>
        <v>112411</v>
      </c>
      <c r="S12" s="395"/>
      <c r="T12" s="395"/>
      <c r="U12" s="395"/>
      <c r="V12" s="395"/>
      <c r="W12" s="395"/>
      <c r="X12" s="395"/>
      <c r="Y12" s="395">
        <v>59036</v>
      </c>
      <c r="Z12" s="374"/>
      <c r="AA12" s="374"/>
      <c r="AB12" s="374"/>
      <c r="AC12" s="374"/>
      <c r="AD12" s="374"/>
      <c r="AE12" s="374"/>
      <c r="AF12" s="395">
        <v>53375</v>
      </c>
      <c r="AG12" s="374"/>
      <c r="AH12" s="374"/>
      <c r="AI12" s="374"/>
      <c r="AJ12" s="374"/>
      <c r="AK12" s="374"/>
      <c r="AL12" s="374"/>
      <c r="AM12" s="395">
        <v>2392</v>
      </c>
      <c r="AN12" s="374"/>
      <c r="AO12" s="374"/>
      <c r="AP12" s="374"/>
      <c r="AQ12" s="374"/>
      <c r="AR12" s="374"/>
      <c r="AS12" s="433" t="s">
        <v>631</v>
      </c>
      <c r="AT12" s="374"/>
      <c r="AU12" s="374"/>
      <c r="AV12" s="374"/>
      <c r="AW12" s="374"/>
      <c r="AX12" s="374"/>
      <c r="AY12" s="433" t="s">
        <v>631</v>
      </c>
      <c r="AZ12" s="374"/>
      <c r="BA12" s="374"/>
      <c r="BB12" s="374"/>
      <c r="BC12" s="374"/>
      <c r="BD12" s="374"/>
      <c r="BE12" s="395">
        <v>39674</v>
      </c>
      <c r="BF12" s="374"/>
      <c r="BG12" s="374"/>
      <c r="BH12" s="374"/>
      <c r="BI12" s="374"/>
      <c r="BJ12" s="374"/>
    </row>
    <row r="13" spans="3:61" ht="9.75" customHeight="1">
      <c r="C13" s="14"/>
      <c r="D13" s="14"/>
      <c r="E13" s="14"/>
      <c r="H13" s="5"/>
      <c r="I13" s="5"/>
      <c r="J13" s="5"/>
      <c r="K13" s="135"/>
      <c r="L13" s="15"/>
      <c r="M13" s="15"/>
      <c r="N13" s="15"/>
      <c r="O13" s="15"/>
      <c r="P13" s="15"/>
      <c r="Q13" s="15"/>
      <c r="R13" s="11"/>
      <c r="S13" s="11"/>
      <c r="T13" s="11"/>
      <c r="U13" s="11"/>
      <c r="V13" s="11"/>
      <c r="W13" s="11"/>
      <c r="X13" s="11"/>
      <c r="Y13" s="11"/>
      <c r="Z13" s="11"/>
      <c r="AA13" s="11"/>
      <c r="AB13" s="11"/>
      <c r="AC13" s="11"/>
      <c r="AD13" s="11"/>
      <c r="AF13" s="11"/>
      <c r="AG13" s="11"/>
      <c r="AH13" s="11"/>
      <c r="AI13" s="11"/>
      <c r="AJ13" s="11"/>
      <c r="AL13" s="11"/>
      <c r="AM13" s="11"/>
      <c r="AN13" s="11"/>
      <c r="AO13" s="11"/>
      <c r="AP13" s="11"/>
      <c r="AQ13" s="16"/>
      <c r="AR13" s="16"/>
      <c r="AS13" s="16"/>
      <c r="AT13" s="16"/>
      <c r="AU13" s="16"/>
      <c r="AV13" s="16"/>
      <c r="AW13" s="11"/>
      <c r="AX13" s="11"/>
      <c r="AY13" s="11"/>
      <c r="AZ13" s="11"/>
      <c r="BA13" s="11"/>
      <c r="BB13" s="11"/>
      <c r="BC13" s="11"/>
      <c r="BD13" s="11"/>
      <c r="BE13" s="11"/>
      <c r="BF13" s="11"/>
      <c r="BG13" s="11"/>
      <c r="BH13" s="11"/>
      <c r="BI13" s="13"/>
    </row>
    <row r="14" spans="3:62" ht="13.5" customHeight="1">
      <c r="C14" s="14"/>
      <c r="D14" s="14"/>
      <c r="E14" s="14"/>
      <c r="F14" s="384" t="s">
        <v>613</v>
      </c>
      <c r="G14" s="384"/>
      <c r="H14" s="5"/>
      <c r="I14" s="5"/>
      <c r="J14" s="5"/>
      <c r="K14" s="397">
        <v>24399</v>
      </c>
      <c r="L14" s="379"/>
      <c r="M14" s="379"/>
      <c r="N14" s="379"/>
      <c r="O14" s="379"/>
      <c r="P14" s="379"/>
      <c r="Q14" s="379"/>
      <c r="R14" s="395">
        <f>SUM(Y14:AJ14)</f>
        <v>111792</v>
      </c>
      <c r="S14" s="395"/>
      <c r="T14" s="395"/>
      <c r="U14" s="395"/>
      <c r="V14" s="395"/>
      <c r="W14" s="395"/>
      <c r="X14" s="395"/>
      <c r="Y14" s="395">
        <v>58322</v>
      </c>
      <c r="Z14" s="374"/>
      <c r="AA14" s="374"/>
      <c r="AB14" s="374"/>
      <c r="AC14" s="374"/>
      <c r="AD14" s="374"/>
      <c r="AE14" s="374"/>
      <c r="AF14" s="395">
        <v>53470</v>
      </c>
      <c r="AG14" s="374"/>
      <c r="AH14" s="374"/>
      <c r="AI14" s="374"/>
      <c r="AJ14" s="374"/>
      <c r="AK14" s="374"/>
      <c r="AL14" s="374"/>
      <c r="AM14" s="395">
        <v>2379</v>
      </c>
      <c r="AN14" s="374"/>
      <c r="AO14" s="374"/>
      <c r="AP14" s="374"/>
      <c r="AQ14" s="374"/>
      <c r="AR14" s="374"/>
      <c r="AS14" s="385">
        <v>4.58</v>
      </c>
      <c r="AT14" s="374"/>
      <c r="AU14" s="374"/>
      <c r="AV14" s="374"/>
      <c r="AW14" s="374"/>
      <c r="AX14" s="374"/>
      <c r="AY14" s="433" t="s">
        <v>631</v>
      </c>
      <c r="AZ14" s="374"/>
      <c r="BA14" s="374"/>
      <c r="BB14" s="374"/>
      <c r="BC14" s="374"/>
      <c r="BD14" s="374"/>
      <c r="BE14" s="434">
        <v>-619</v>
      </c>
      <c r="BF14" s="374"/>
      <c r="BG14" s="374"/>
      <c r="BH14" s="374"/>
      <c r="BI14" s="374"/>
      <c r="BJ14" s="374"/>
    </row>
    <row r="15" spans="3:62" ht="13.5" customHeight="1">
      <c r="C15" s="14"/>
      <c r="D15" s="14"/>
      <c r="E15" s="14"/>
      <c r="F15" s="384" t="s">
        <v>614</v>
      </c>
      <c r="G15" s="384"/>
      <c r="H15" s="5"/>
      <c r="I15" s="5"/>
      <c r="J15" s="5"/>
      <c r="K15" s="397">
        <v>25153</v>
      </c>
      <c r="L15" s="379"/>
      <c r="M15" s="379"/>
      <c r="N15" s="379"/>
      <c r="O15" s="379"/>
      <c r="P15" s="379"/>
      <c r="Q15" s="379"/>
      <c r="R15" s="395">
        <f>SUM(Y15:AJ15)</f>
        <v>113683</v>
      </c>
      <c r="S15" s="395"/>
      <c r="T15" s="395"/>
      <c r="U15" s="395"/>
      <c r="V15" s="395"/>
      <c r="W15" s="395"/>
      <c r="X15" s="395"/>
      <c r="Y15" s="395">
        <v>58276</v>
      </c>
      <c r="Z15" s="374"/>
      <c r="AA15" s="374"/>
      <c r="AB15" s="374"/>
      <c r="AC15" s="374"/>
      <c r="AD15" s="374"/>
      <c r="AE15" s="374"/>
      <c r="AF15" s="395">
        <v>55407</v>
      </c>
      <c r="AG15" s="374"/>
      <c r="AH15" s="374"/>
      <c r="AI15" s="374"/>
      <c r="AJ15" s="374"/>
      <c r="AK15" s="374"/>
      <c r="AL15" s="374"/>
      <c r="AM15" s="395">
        <v>2419</v>
      </c>
      <c r="AN15" s="374"/>
      <c r="AO15" s="374"/>
      <c r="AP15" s="374"/>
      <c r="AQ15" s="374"/>
      <c r="AR15" s="374"/>
      <c r="AS15" s="385">
        <v>4.52</v>
      </c>
      <c r="AT15" s="374"/>
      <c r="AU15" s="374"/>
      <c r="AV15" s="374"/>
      <c r="AW15" s="374"/>
      <c r="AX15" s="374"/>
      <c r="AY15" s="395">
        <v>754</v>
      </c>
      <c r="AZ15" s="374"/>
      <c r="BA15" s="374"/>
      <c r="BB15" s="374"/>
      <c r="BC15" s="374"/>
      <c r="BD15" s="374"/>
      <c r="BE15" s="395">
        <v>1891</v>
      </c>
      <c r="BF15" s="374"/>
      <c r="BG15" s="374"/>
      <c r="BH15" s="374"/>
      <c r="BI15" s="374"/>
      <c r="BJ15" s="374"/>
    </row>
    <row r="16" spans="3:62" ht="13.5" customHeight="1">
      <c r="C16" s="14"/>
      <c r="D16" s="14"/>
      <c r="E16" s="14"/>
      <c r="F16" s="384" t="s">
        <v>615</v>
      </c>
      <c r="G16" s="384"/>
      <c r="H16" s="5"/>
      <c r="I16" s="5"/>
      <c r="J16" s="5"/>
      <c r="K16" s="397">
        <v>27465</v>
      </c>
      <c r="L16" s="379"/>
      <c r="M16" s="379"/>
      <c r="N16" s="379"/>
      <c r="O16" s="379"/>
      <c r="P16" s="379"/>
      <c r="Q16" s="379"/>
      <c r="R16" s="395">
        <f>SUM(Y16:AJ16)</f>
        <v>125197</v>
      </c>
      <c r="S16" s="395"/>
      <c r="T16" s="395"/>
      <c r="U16" s="395"/>
      <c r="V16" s="395"/>
      <c r="W16" s="395"/>
      <c r="X16" s="395"/>
      <c r="Y16" s="395">
        <v>62263</v>
      </c>
      <c r="Z16" s="374"/>
      <c r="AA16" s="374"/>
      <c r="AB16" s="374"/>
      <c r="AC16" s="374"/>
      <c r="AD16" s="374"/>
      <c r="AE16" s="374"/>
      <c r="AF16" s="395">
        <v>62934</v>
      </c>
      <c r="AG16" s="374"/>
      <c r="AH16" s="374"/>
      <c r="AI16" s="374"/>
      <c r="AJ16" s="374"/>
      <c r="AK16" s="374"/>
      <c r="AL16" s="374"/>
      <c r="AM16" s="395">
        <v>2664</v>
      </c>
      <c r="AN16" s="374"/>
      <c r="AO16" s="374"/>
      <c r="AP16" s="374"/>
      <c r="AQ16" s="374"/>
      <c r="AR16" s="374"/>
      <c r="AS16" s="385">
        <v>4.56</v>
      </c>
      <c r="AT16" s="374"/>
      <c r="AU16" s="374"/>
      <c r="AV16" s="374"/>
      <c r="AW16" s="374"/>
      <c r="AX16" s="374"/>
      <c r="AY16" s="395">
        <v>2312</v>
      </c>
      <c r="AZ16" s="374"/>
      <c r="BA16" s="374"/>
      <c r="BB16" s="374"/>
      <c r="BC16" s="374"/>
      <c r="BD16" s="374"/>
      <c r="BE16" s="395">
        <v>11514</v>
      </c>
      <c r="BF16" s="374"/>
      <c r="BG16" s="374"/>
      <c r="BH16" s="374"/>
      <c r="BI16" s="374"/>
      <c r="BJ16" s="374"/>
    </row>
    <row r="17" spans="3:62" ht="13.5" customHeight="1">
      <c r="C17" s="14"/>
      <c r="D17" s="14"/>
      <c r="E17" s="14"/>
      <c r="F17" s="384" t="s">
        <v>616</v>
      </c>
      <c r="G17" s="384"/>
      <c r="H17" s="5"/>
      <c r="I17" s="5"/>
      <c r="J17" s="5"/>
      <c r="K17" s="397">
        <v>41290</v>
      </c>
      <c r="L17" s="379"/>
      <c r="M17" s="379"/>
      <c r="N17" s="379"/>
      <c r="O17" s="379"/>
      <c r="P17" s="379"/>
      <c r="Q17" s="379"/>
      <c r="R17" s="395">
        <f>SUM(Y17:AJ17)</f>
        <v>185814</v>
      </c>
      <c r="S17" s="395"/>
      <c r="T17" s="395"/>
      <c r="U17" s="395"/>
      <c r="V17" s="395"/>
      <c r="W17" s="395"/>
      <c r="X17" s="395"/>
      <c r="Y17" s="395">
        <v>95518</v>
      </c>
      <c r="Z17" s="374"/>
      <c r="AA17" s="374"/>
      <c r="AB17" s="374"/>
      <c r="AC17" s="374"/>
      <c r="AD17" s="374"/>
      <c r="AE17" s="374"/>
      <c r="AF17" s="395">
        <v>90296</v>
      </c>
      <c r="AG17" s="374"/>
      <c r="AH17" s="374"/>
      <c r="AI17" s="374"/>
      <c r="AJ17" s="374"/>
      <c r="AK17" s="374"/>
      <c r="AL17" s="374"/>
      <c r="AM17" s="395">
        <v>3953</v>
      </c>
      <c r="AN17" s="374"/>
      <c r="AO17" s="374"/>
      <c r="AP17" s="374"/>
      <c r="AQ17" s="374"/>
      <c r="AR17" s="374"/>
      <c r="AS17" s="385">
        <v>4.5</v>
      </c>
      <c r="AT17" s="374"/>
      <c r="AU17" s="374"/>
      <c r="AV17" s="374"/>
      <c r="AW17" s="374"/>
      <c r="AX17" s="374"/>
      <c r="AY17" s="395">
        <v>13825</v>
      </c>
      <c r="AZ17" s="374"/>
      <c r="BA17" s="374"/>
      <c r="BB17" s="374"/>
      <c r="BC17" s="374"/>
      <c r="BD17" s="374"/>
      <c r="BE17" s="395">
        <v>60617</v>
      </c>
      <c r="BF17" s="374"/>
      <c r="BG17" s="374"/>
      <c r="BH17" s="374"/>
      <c r="BI17" s="374"/>
      <c r="BJ17" s="374"/>
    </row>
    <row r="18" spans="3:62" ht="13.5" customHeight="1">
      <c r="C18" s="14"/>
      <c r="D18" s="14"/>
      <c r="E18" s="14"/>
      <c r="F18" s="384" t="s">
        <v>617</v>
      </c>
      <c r="G18" s="384"/>
      <c r="H18" s="5"/>
      <c r="I18" s="5"/>
      <c r="J18" s="5"/>
      <c r="K18" s="397">
        <v>79796</v>
      </c>
      <c r="L18" s="379"/>
      <c r="M18" s="379"/>
      <c r="N18" s="379"/>
      <c r="O18" s="379"/>
      <c r="P18" s="379"/>
      <c r="Q18" s="379"/>
      <c r="R18" s="395">
        <f>SUM(Y18:AJ18)</f>
        <v>305628</v>
      </c>
      <c r="S18" s="395"/>
      <c r="T18" s="395"/>
      <c r="U18" s="395"/>
      <c r="V18" s="395"/>
      <c r="W18" s="395"/>
      <c r="X18" s="395"/>
      <c r="Y18" s="395">
        <v>156098</v>
      </c>
      <c r="Z18" s="374"/>
      <c r="AA18" s="374"/>
      <c r="AB18" s="374"/>
      <c r="AC18" s="374"/>
      <c r="AD18" s="374"/>
      <c r="AE18" s="374"/>
      <c r="AF18" s="395">
        <v>149530</v>
      </c>
      <c r="AG18" s="374"/>
      <c r="AH18" s="374"/>
      <c r="AI18" s="374"/>
      <c r="AJ18" s="374"/>
      <c r="AK18" s="374"/>
      <c r="AL18" s="374"/>
      <c r="AM18" s="395">
        <v>6503</v>
      </c>
      <c r="AN18" s="374"/>
      <c r="AO18" s="374"/>
      <c r="AP18" s="374"/>
      <c r="AQ18" s="374"/>
      <c r="AR18" s="374"/>
      <c r="AS18" s="385">
        <v>3.83</v>
      </c>
      <c r="AT18" s="374"/>
      <c r="AU18" s="374"/>
      <c r="AV18" s="374"/>
      <c r="AW18" s="374"/>
      <c r="AX18" s="374"/>
      <c r="AY18" s="395">
        <v>38506</v>
      </c>
      <c r="AZ18" s="374"/>
      <c r="BA18" s="374"/>
      <c r="BB18" s="374"/>
      <c r="BC18" s="374"/>
      <c r="BD18" s="374"/>
      <c r="BE18" s="395">
        <v>119814</v>
      </c>
      <c r="BF18" s="374"/>
      <c r="BG18" s="374"/>
      <c r="BH18" s="374"/>
      <c r="BI18" s="374"/>
      <c r="BJ18" s="374"/>
    </row>
    <row r="19" spans="3:61" ht="9.75" customHeight="1">
      <c r="C19" s="14"/>
      <c r="D19" s="14"/>
      <c r="H19" s="5"/>
      <c r="I19" s="5"/>
      <c r="J19" s="5"/>
      <c r="K19" s="135"/>
      <c r="L19" s="15"/>
      <c r="M19" s="15"/>
      <c r="N19" s="15"/>
      <c r="O19" s="15"/>
      <c r="P19" s="15"/>
      <c r="Q19" s="15"/>
      <c r="R19" s="11"/>
      <c r="S19" s="11"/>
      <c r="T19" s="11"/>
      <c r="U19" s="11"/>
      <c r="V19" s="11"/>
      <c r="W19" s="11"/>
      <c r="X19" s="11"/>
      <c r="Y19" s="11"/>
      <c r="Z19" s="11"/>
      <c r="AA19" s="11"/>
      <c r="AB19" s="11"/>
      <c r="AC19" s="11"/>
      <c r="AD19" s="11"/>
      <c r="AF19" s="11"/>
      <c r="AG19" s="11"/>
      <c r="AH19" s="11"/>
      <c r="AI19" s="11"/>
      <c r="AJ19" s="11"/>
      <c r="AL19" s="11"/>
      <c r="AM19" s="11"/>
      <c r="AN19" s="11"/>
      <c r="AO19" s="11"/>
      <c r="AP19" s="11"/>
      <c r="AQ19" s="12"/>
      <c r="AR19" s="12"/>
      <c r="AS19" s="12"/>
      <c r="AT19" s="12"/>
      <c r="AU19" s="12"/>
      <c r="AV19" s="12"/>
      <c r="AW19" s="11"/>
      <c r="AX19" s="11"/>
      <c r="AY19" s="11"/>
      <c r="AZ19" s="11"/>
      <c r="BA19" s="11"/>
      <c r="BB19" s="11"/>
      <c r="BC19" s="11"/>
      <c r="BD19" s="11"/>
      <c r="BE19" s="11"/>
      <c r="BF19" s="11"/>
      <c r="BG19" s="11"/>
      <c r="BH19" s="11"/>
      <c r="BI19" s="13"/>
    </row>
    <row r="20" spans="3:62" ht="13.5" customHeight="1">
      <c r="C20" s="14"/>
      <c r="D20" s="14"/>
      <c r="F20" s="384" t="s">
        <v>618</v>
      </c>
      <c r="G20" s="384"/>
      <c r="H20" s="5"/>
      <c r="I20" s="5"/>
      <c r="J20" s="5"/>
      <c r="K20" s="397">
        <v>124887</v>
      </c>
      <c r="L20" s="379"/>
      <c r="M20" s="379"/>
      <c r="N20" s="379"/>
      <c r="O20" s="379"/>
      <c r="P20" s="379"/>
      <c r="Q20" s="379"/>
      <c r="R20" s="395">
        <f>SUM(Y20:AJ20)</f>
        <v>434721</v>
      </c>
      <c r="S20" s="395"/>
      <c r="T20" s="395"/>
      <c r="U20" s="395"/>
      <c r="V20" s="395"/>
      <c r="W20" s="395"/>
      <c r="X20" s="395"/>
      <c r="Y20" s="395">
        <v>222699</v>
      </c>
      <c r="Z20" s="374"/>
      <c r="AA20" s="374"/>
      <c r="AB20" s="374"/>
      <c r="AC20" s="374"/>
      <c r="AD20" s="374"/>
      <c r="AE20" s="374"/>
      <c r="AF20" s="395">
        <v>212022</v>
      </c>
      <c r="AG20" s="374"/>
      <c r="AH20" s="374"/>
      <c r="AI20" s="374"/>
      <c r="AJ20" s="374"/>
      <c r="AK20" s="374"/>
      <c r="AL20" s="374"/>
      <c r="AM20" s="395">
        <v>9249</v>
      </c>
      <c r="AN20" s="374"/>
      <c r="AO20" s="374"/>
      <c r="AP20" s="374"/>
      <c r="AQ20" s="374"/>
      <c r="AR20" s="374"/>
      <c r="AS20" s="385">
        <v>3.48</v>
      </c>
      <c r="AT20" s="374"/>
      <c r="AU20" s="374"/>
      <c r="AV20" s="374"/>
      <c r="AW20" s="374"/>
      <c r="AX20" s="374"/>
      <c r="AY20" s="395">
        <v>45091</v>
      </c>
      <c r="AZ20" s="374"/>
      <c r="BA20" s="374"/>
      <c r="BB20" s="374"/>
      <c r="BC20" s="374"/>
      <c r="BD20" s="374"/>
      <c r="BE20" s="395">
        <v>129093</v>
      </c>
      <c r="BF20" s="374"/>
      <c r="BG20" s="374"/>
      <c r="BH20" s="374"/>
      <c r="BI20" s="374"/>
      <c r="BJ20" s="374"/>
    </row>
    <row r="21" spans="3:62" ht="13.5" customHeight="1">
      <c r="C21" s="14"/>
      <c r="D21" s="14"/>
      <c r="F21" s="384" t="s">
        <v>619</v>
      </c>
      <c r="G21" s="384"/>
      <c r="H21" s="5"/>
      <c r="I21" s="5"/>
      <c r="J21" s="5"/>
      <c r="K21" s="397">
        <v>165027</v>
      </c>
      <c r="L21" s="379"/>
      <c r="M21" s="379"/>
      <c r="N21" s="379"/>
      <c r="O21" s="379"/>
      <c r="P21" s="379"/>
      <c r="Q21" s="379"/>
      <c r="R21" s="395">
        <f>SUM(Y21:AJ21)</f>
        <v>527931</v>
      </c>
      <c r="S21" s="395"/>
      <c r="T21" s="395"/>
      <c r="U21" s="395"/>
      <c r="V21" s="395"/>
      <c r="W21" s="395"/>
      <c r="X21" s="395"/>
      <c r="Y21" s="395">
        <v>270356</v>
      </c>
      <c r="Z21" s="374"/>
      <c r="AA21" s="374"/>
      <c r="AB21" s="374"/>
      <c r="AC21" s="374"/>
      <c r="AD21" s="374"/>
      <c r="AE21" s="374"/>
      <c r="AF21" s="395">
        <v>257575</v>
      </c>
      <c r="AG21" s="374"/>
      <c r="AH21" s="374"/>
      <c r="AI21" s="374"/>
      <c r="AJ21" s="374"/>
      <c r="AK21" s="374"/>
      <c r="AL21" s="374"/>
      <c r="AM21" s="395">
        <v>11233</v>
      </c>
      <c r="AN21" s="374"/>
      <c r="AO21" s="374"/>
      <c r="AP21" s="374"/>
      <c r="AQ21" s="374"/>
      <c r="AR21" s="374"/>
      <c r="AS21" s="385">
        <v>3.2</v>
      </c>
      <c r="AT21" s="374"/>
      <c r="AU21" s="374"/>
      <c r="AV21" s="374"/>
      <c r="AW21" s="374"/>
      <c r="AX21" s="374"/>
      <c r="AY21" s="395">
        <v>40140</v>
      </c>
      <c r="AZ21" s="374"/>
      <c r="BA21" s="374"/>
      <c r="BB21" s="374"/>
      <c r="BC21" s="374"/>
      <c r="BD21" s="374"/>
      <c r="BE21" s="395">
        <v>93210</v>
      </c>
      <c r="BF21" s="374"/>
      <c r="BG21" s="374"/>
      <c r="BH21" s="374"/>
      <c r="BI21" s="374"/>
      <c r="BJ21" s="374"/>
    </row>
    <row r="22" spans="3:62" ht="13.5" customHeight="1">
      <c r="C22" s="14"/>
      <c r="D22" s="14"/>
      <c r="E22" s="14"/>
      <c r="F22" s="384" t="s">
        <v>620</v>
      </c>
      <c r="G22" s="384"/>
      <c r="H22" s="5"/>
      <c r="I22" s="5"/>
      <c r="J22" s="5"/>
      <c r="K22" s="397">
        <v>187801</v>
      </c>
      <c r="L22" s="379"/>
      <c r="M22" s="379"/>
      <c r="N22" s="379"/>
      <c r="O22" s="379"/>
      <c r="P22" s="379"/>
      <c r="Q22" s="379"/>
      <c r="R22" s="395">
        <f>SUM(Y22:AJ22)</f>
        <v>559665</v>
      </c>
      <c r="S22" s="395"/>
      <c r="T22" s="395"/>
      <c r="U22" s="395"/>
      <c r="V22" s="395"/>
      <c r="W22" s="395"/>
      <c r="X22" s="395"/>
      <c r="Y22" s="395">
        <v>285786</v>
      </c>
      <c r="Z22" s="374"/>
      <c r="AA22" s="374"/>
      <c r="AB22" s="374"/>
      <c r="AC22" s="374"/>
      <c r="AD22" s="374"/>
      <c r="AE22" s="374"/>
      <c r="AF22" s="395">
        <v>273879</v>
      </c>
      <c r="AG22" s="374"/>
      <c r="AH22" s="374"/>
      <c r="AI22" s="374"/>
      <c r="AJ22" s="374"/>
      <c r="AK22" s="374"/>
      <c r="AL22" s="374"/>
      <c r="AM22" s="395">
        <v>11908</v>
      </c>
      <c r="AN22" s="374"/>
      <c r="AO22" s="374"/>
      <c r="AP22" s="374"/>
      <c r="AQ22" s="374"/>
      <c r="AR22" s="374"/>
      <c r="AS22" s="385">
        <v>2.98</v>
      </c>
      <c r="AT22" s="374"/>
      <c r="AU22" s="374"/>
      <c r="AV22" s="374"/>
      <c r="AW22" s="374"/>
      <c r="AX22" s="374"/>
      <c r="AY22" s="395">
        <v>22774</v>
      </c>
      <c r="AZ22" s="374"/>
      <c r="BA22" s="374"/>
      <c r="BB22" s="374"/>
      <c r="BC22" s="374"/>
      <c r="BD22" s="374"/>
      <c r="BE22" s="395">
        <v>31734</v>
      </c>
      <c r="BF22" s="374"/>
      <c r="BG22" s="374"/>
      <c r="BH22" s="374"/>
      <c r="BI22" s="374"/>
      <c r="BJ22" s="374"/>
    </row>
    <row r="23" spans="3:62" ht="13.5" customHeight="1">
      <c r="C23" s="14"/>
      <c r="D23" s="14"/>
      <c r="E23" s="14"/>
      <c r="F23" s="384" t="s">
        <v>621</v>
      </c>
      <c r="G23" s="384"/>
      <c r="H23" s="5"/>
      <c r="I23" s="5"/>
      <c r="J23" s="5"/>
      <c r="K23" s="397">
        <v>202316</v>
      </c>
      <c r="L23" s="379"/>
      <c r="M23" s="379"/>
      <c r="N23" s="379"/>
      <c r="O23" s="379"/>
      <c r="P23" s="379"/>
      <c r="Q23" s="379"/>
      <c r="R23" s="395">
        <f>SUM(Y23:AJ23)</f>
        <v>564156</v>
      </c>
      <c r="S23" s="395"/>
      <c r="T23" s="395"/>
      <c r="U23" s="395"/>
      <c r="V23" s="395"/>
      <c r="W23" s="395"/>
      <c r="X23" s="395"/>
      <c r="Y23" s="395">
        <v>285789</v>
      </c>
      <c r="Z23" s="374"/>
      <c r="AA23" s="374"/>
      <c r="AB23" s="374"/>
      <c r="AC23" s="374"/>
      <c r="AD23" s="374"/>
      <c r="AE23" s="374"/>
      <c r="AF23" s="395">
        <v>278367</v>
      </c>
      <c r="AG23" s="374"/>
      <c r="AH23" s="374"/>
      <c r="AI23" s="374"/>
      <c r="AJ23" s="374"/>
      <c r="AK23" s="374"/>
      <c r="AL23" s="374"/>
      <c r="AM23" s="395">
        <v>12003</v>
      </c>
      <c r="AN23" s="374"/>
      <c r="AO23" s="374"/>
      <c r="AP23" s="374"/>
      <c r="AQ23" s="374"/>
      <c r="AR23" s="374"/>
      <c r="AS23" s="385">
        <v>2.79</v>
      </c>
      <c r="AT23" s="374"/>
      <c r="AU23" s="374"/>
      <c r="AV23" s="374"/>
      <c r="AW23" s="374"/>
      <c r="AX23" s="374"/>
      <c r="AY23" s="395">
        <v>14515</v>
      </c>
      <c r="AZ23" s="374"/>
      <c r="BA23" s="374"/>
      <c r="BB23" s="374"/>
      <c r="BC23" s="374"/>
      <c r="BD23" s="374"/>
      <c r="BE23" s="395">
        <v>4491</v>
      </c>
      <c r="BF23" s="374"/>
      <c r="BG23" s="374"/>
      <c r="BH23" s="374"/>
      <c r="BI23" s="374"/>
      <c r="BJ23" s="374"/>
    </row>
    <row r="24" spans="3:62" ht="13.5" customHeight="1">
      <c r="C24" s="14"/>
      <c r="D24" s="14"/>
      <c r="E24" s="14"/>
      <c r="F24" s="384" t="s">
        <v>622</v>
      </c>
      <c r="G24" s="384"/>
      <c r="H24" s="5"/>
      <c r="I24" s="5"/>
      <c r="J24" s="5"/>
      <c r="K24" s="397">
        <v>215909</v>
      </c>
      <c r="L24" s="379"/>
      <c r="M24" s="379"/>
      <c r="N24" s="379"/>
      <c r="O24" s="379"/>
      <c r="P24" s="379"/>
      <c r="Q24" s="379"/>
      <c r="R24" s="395">
        <f>SUM(Y24:AJ24)</f>
        <v>587887</v>
      </c>
      <c r="S24" s="395"/>
      <c r="T24" s="395"/>
      <c r="U24" s="395"/>
      <c r="V24" s="395"/>
      <c r="W24" s="395"/>
      <c r="X24" s="395"/>
      <c r="Y24" s="395">
        <v>297239</v>
      </c>
      <c r="Z24" s="374"/>
      <c r="AA24" s="374"/>
      <c r="AB24" s="374"/>
      <c r="AC24" s="374"/>
      <c r="AD24" s="374"/>
      <c r="AE24" s="374"/>
      <c r="AF24" s="395">
        <v>290648</v>
      </c>
      <c r="AG24" s="374"/>
      <c r="AH24" s="374"/>
      <c r="AI24" s="374"/>
      <c r="AJ24" s="374"/>
      <c r="AK24" s="374"/>
      <c r="AL24" s="374"/>
      <c r="AM24" s="395">
        <v>12508</v>
      </c>
      <c r="AN24" s="374"/>
      <c r="AO24" s="374"/>
      <c r="AP24" s="374"/>
      <c r="AQ24" s="374"/>
      <c r="AR24" s="374"/>
      <c r="AS24" s="385">
        <v>2.72</v>
      </c>
      <c r="AT24" s="374"/>
      <c r="AU24" s="374"/>
      <c r="AV24" s="374"/>
      <c r="AW24" s="374"/>
      <c r="AX24" s="374"/>
      <c r="AY24" s="395">
        <v>13593</v>
      </c>
      <c r="AZ24" s="374"/>
      <c r="BA24" s="374"/>
      <c r="BB24" s="374"/>
      <c r="BC24" s="374"/>
      <c r="BD24" s="374"/>
      <c r="BE24" s="395">
        <v>23731</v>
      </c>
      <c r="BF24" s="374"/>
      <c r="BG24" s="374"/>
      <c r="BH24" s="374"/>
      <c r="BI24" s="374"/>
      <c r="BJ24" s="374"/>
    </row>
    <row r="25" spans="3:61" ht="9.75" customHeight="1">
      <c r="C25" s="14"/>
      <c r="D25" s="14"/>
      <c r="E25" s="14"/>
      <c r="H25" s="5"/>
      <c r="I25" s="5"/>
      <c r="J25" s="5"/>
      <c r="K25" s="135"/>
      <c r="L25" s="15"/>
      <c r="M25" s="15"/>
      <c r="N25" s="15"/>
      <c r="O25" s="15"/>
      <c r="P25" s="15"/>
      <c r="Q25" s="15"/>
      <c r="R25" s="11"/>
      <c r="S25" s="11"/>
      <c r="T25" s="11"/>
      <c r="U25" s="11"/>
      <c r="V25" s="11"/>
      <c r="W25" s="11"/>
      <c r="X25" s="11"/>
      <c r="Y25" s="11"/>
      <c r="Z25" s="11"/>
      <c r="AA25" s="11"/>
      <c r="AB25" s="11"/>
      <c r="AC25" s="11"/>
      <c r="AD25" s="11"/>
      <c r="AF25" s="11"/>
      <c r="AG25" s="11"/>
      <c r="AH25" s="11"/>
      <c r="AI25" s="11"/>
      <c r="AJ25" s="11"/>
      <c r="AL25" s="11"/>
      <c r="AM25" s="11"/>
      <c r="AN25" s="11"/>
      <c r="AO25" s="11"/>
      <c r="AP25" s="11"/>
      <c r="AQ25" s="12"/>
      <c r="AR25" s="12"/>
      <c r="AS25" s="12"/>
      <c r="AT25" s="12"/>
      <c r="AU25" s="12"/>
      <c r="AV25" s="12"/>
      <c r="AW25" s="11"/>
      <c r="AX25" s="11"/>
      <c r="AY25" s="11"/>
      <c r="AZ25" s="11"/>
      <c r="BA25" s="11"/>
      <c r="BB25" s="11"/>
      <c r="BC25" s="11"/>
      <c r="BD25" s="11"/>
      <c r="BE25" s="11"/>
      <c r="BF25" s="11"/>
      <c r="BG25" s="11"/>
      <c r="BH25" s="11"/>
      <c r="BI25" s="13"/>
    </row>
    <row r="26" spans="3:62" ht="13.5" customHeight="1">
      <c r="C26" s="398" t="s">
        <v>414</v>
      </c>
      <c r="D26" s="398"/>
      <c r="E26" s="398"/>
      <c r="F26" s="384" t="s">
        <v>196</v>
      </c>
      <c r="G26" s="384"/>
      <c r="H26" s="368" t="s">
        <v>186</v>
      </c>
      <c r="I26" s="368"/>
      <c r="J26" s="10"/>
      <c r="K26" s="397">
        <v>242021</v>
      </c>
      <c r="L26" s="379"/>
      <c r="M26" s="379"/>
      <c r="N26" s="379"/>
      <c r="O26" s="379"/>
      <c r="P26" s="379"/>
      <c r="Q26" s="379"/>
      <c r="R26" s="395">
        <f>SUM(Y26:AJ26)</f>
        <v>618663</v>
      </c>
      <c r="S26" s="395"/>
      <c r="T26" s="395"/>
      <c r="U26" s="395"/>
      <c r="V26" s="395"/>
      <c r="W26" s="395"/>
      <c r="X26" s="395"/>
      <c r="Y26" s="395">
        <v>312074</v>
      </c>
      <c r="Z26" s="374"/>
      <c r="AA26" s="374"/>
      <c r="AB26" s="374"/>
      <c r="AC26" s="374"/>
      <c r="AD26" s="374"/>
      <c r="AE26" s="374"/>
      <c r="AF26" s="395">
        <v>306589</v>
      </c>
      <c r="AG26" s="374"/>
      <c r="AH26" s="374"/>
      <c r="AI26" s="374"/>
      <c r="AJ26" s="374"/>
      <c r="AK26" s="374"/>
      <c r="AL26" s="374"/>
      <c r="AM26" s="395">
        <v>12846</v>
      </c>
      <c r="AN26" s="374"/>
      <c r="AO26" s="374"/>
      <c r="AP26" s="374"/>
      <c r="AQ26" s="374"/>
      <c r="AR26" s="374"/>
      <c r="AS26" s="385">
        <v>2.56</v>
      </c>
      <c r="AT26" s="374"/>
      <c r="AU26" s="374"/>
      <c r="AV26" s="374"/>
      <c r="AW26" s="374"/>
      <c r="AX26" s="374"/>
      <c r="AY26" s="395">
        <v>26112</v>
      </c>
      <c r="AZ26" s="374"/>
      <c r="BA26" s="374"/>
      <c r="BB26" s="374"/>
      <c r="BC26" s="374"/>
      <c r="BD26" s="374"/>
      <c r="BE26" s="395">
        <v>30776</v>
      </c>
      <c r="BF26" s="374"/>
      <c r="BG26" s="374"/>
      <c r="BH26" s="374"/>
      <c r="BI26" s="374"/>
      <c r="BJ26" s="374"/>
    </row>
    <row r="27" spans="6:62" ht="13.5" customHeight="1">
      <c r="F27" s="384" t="s">
        <v>623</v>
      </c>
      <c r="G27" s="384"/>
      <c r="H27" s="5"/>
      <c r="I27" s="5"/>
      <c r="J27" s="5"/>
      <c r="K27" s="397">
        <v>264086</v>
      </c>
      <c r="L27" s="379"/>
      <c r="M27" s="379"/>
      <c r="N27" s="379"/>
      <c r="O27" s="379"/>
      <c r="P27" s="379"/>
      <c r="Q27" s="379"/>
      <c r="R27" s="395">
        <f>SUM(Y27:AJ27)</f>
        <v>635746</v>
      </c>
      <c r="S27" s="395"/>
      <c r="T27" s="395"/>
      <c r="U27" s="395"/>
      <c r="V27" s="395"/>
      <c r="W27" s="395"/>
      <c r="X27" s="395"/>
      <c r="Y27" s="395">
        <v>318551</v>
      </c>
      <c r="Z27" s="374"/>
      <c r="AA27" s="374"/>
      <c r="AB27" s="374"/>
      <c r="AC27" s="374"/>
      <c r="AD27" s="374"/>
      <c r="AE27" s="374"/>
      <c r="AF27" s="395">
        <v>317195</v>
      </c>
      <c r="AG27" s="374"/>
      <c r="AH27" s="374"/>
      <c r="AI27" s="374"/>
      <c r="AJ27" s="374"/>
      <c r="AK27" s="374"/>
      <c r="AL27" s="374"/>
      <c r="AM27" s="395">
        <v>13201</v>
      </c>
      <c r="AN27" s="374"/>
      <c r="AO27" s="374"/>
      <c r="AP27" s="374"/>
      <c r="AQ27" s="374"/>
      <c r="AR27" s="374"/>
      <c r="AS27" s="385">
        <v>2.41</v>
      </c>
      <c r="AT27" s="374"/>
      <c r="AU27" s="374"/>
      <c r="AV27" s="374"/>
      <c r="AW27" s="374"/>
      <c r="AX27" s="374"/>
      <c r="AY27" s="395">
        <v>22065</v>
      </c>
      <c r="AZ27" s="374"/>
      <c r="BA27" s="374"/>
      <c r="BB27" s="374"/>
      <c r="BC27" s="374"/>
      <c r="BD27" s="374"/>
      <c r="BE27" s="395">
        <v>17083</v>
      </c>
      <c r="BF27" s="374"/>
      <c r="BG27" s="374"/>
      <c r="BH27" s="374"/>
      <c r="BI27" s="374"/>
      <c r="BJ27" s="374"/>
    </row>
    <row r="28" spans="6:62" s="17" customFormat="1" ht="13.5" customHeight="1">
      <c r="F28" s="384" t="s">
        <v>624</v>
      </c>
      <c r="G28" s="384"/>
      <c r="H28" s="5"/>
      <c r="I28" s="5"/>
      <c r="J28" s="5"/>
      <c r="K28" s="397">
        <v>287243</v>
      </c>
      <c r="L28" s="379"/>
      <c r="M28" s="379"/>
      <c r="N28" s="379"/>
      <c r="O28" s="379"/>
      <c r="P28" s="379"/>
      <c r="Q28" s="379"/>
      <c r="R28" s="395">
        <f>SUM(Y28:AJ28)</f>
        <v>658132</v>
      </c>
      <c r="S28" s="395"/>
      <c r="T28" s="395"/>
      <c r="U28" s="395"/>
      <c r="V28" s="395"/>
      <c r="W28" s="395"/>
      <c r="X28" s="395"/>
      <c r="Y28" s="395">
        <v>327085</v>
      </c>
      <c r="Z28" s="374"/>
      <c r="AA28" s="374"/>
      <c r="AB28" s="374"/>
      <c r="AC28" s="374"/>
      <c r="AD28" s="374"/>
      <c r="AE28" s="374"/>
      <c r="AF28" s="395">
        <v>331047</v>
      </c>
      <c r="AG28" s="374"/>
      <c r="AH28" s="374"/>
      <c r="AI28" s="374"/>
      <c r="AJ28" s="374"/>
      <c r="AK28" s="374"/>
      <c r="AL28" s="374"/>
      <c r="AM28" s="395">
        <v>13666</v>
      </c>
      <c r="AN28" s="374"/>
      <c r="AO28" s="374"/>
      <c r="AP28" s="374"/>
      <c r="AQ28" s="374"/>
      <c r="AR28" s="374"/>
      <c r="AS28" s="385">
        <v>2.29</v>
      </c>
      <c r="AT28" s="374"/>
      <c r="AU28" s="374"/>
      <c r="AV28" s="374"/>
      <c r="AW28" s="374"/>
      <c r="AX28" s="374"/>
      <c r="AY28" s="395">
        <v>23157</v>
      </c>
      <c r="AZ28" s="374"/>
      <c r="BA28" s="374"/>
      <c r="BB28" s="374"/>
      <c r="BC28" s="374"/>
      <c r="BD28" s="374"/>
      <c r="BE28" s="395">
        <v>22386</v>
      </c>
      <c r="BF28" s="374"/>
      <c r="BG28" s="374"/>
      <c r="BH28" s="374"/>
      <c r="BI28" s="374"/>
      <c r="BJ28" s="374"/>
    </row>
    <row r="29" spans="6:62" s="17" customFormat="1" ht="13.5" customHeight="1">
      <c r="F29" s="384" t="s">
        <v>625</v>
      </c>
      <c r="G29" s="384"/>
      <c r="H29" s="5"/>
      <c r="I29" s="5"/>
      <c r="J29" s="5"/>
      <c r="K29" s="390">
        <v>312212</v>
      </c>
      <c r="L29" s="391"/>
      <c r="M29" s="391"/>
      <c r="N29" s="391"/>
      <c r="O29" s="391"/>
      <c r="P29" s="391"/>
      <c r="Q29" s="391"/>
      <c r="R29" s="388">
        <v>692339</v>
      </c>
      <c r="S29" s="388"/>
      <c r="T29" s="388"/>
      <c r="U29" s="388"/>
      <c r="V29" s="388"/>
      <c r="W29" s="388"/>
      <c r="X29" s="388"/>
      <c r="Y29" s="395">
        <v>342567</v>
      </c>
      <c r="Z29" s="374"/>
      <c r="AA29" s="374"/>
      <c r="AB29" s="374"/>
      <c r="AC29" s="374"/>
      <c r="AD29" s="374"/>
      <c r="AE29" s="374"/>
      <c r="AF29" s="395">
        <v>349772</v>
      </c>
      <c r="AG29" s="374"/>
      <c r="AH29" s="374"/>
      <c r="AI29" s="374"/>
      <c r="AJ29" s="374"/>
      <c r="AK29" s="374"/>
      <c r="AL29" s="374"/>
      <c r="AM29" s="395">
        <v>14376</v>
      </c>
      <c r="AN29" s="374"/>
      <c r="AO29" s="374"/>
      <c r="AP29" s="374"/>
      <c r="AQ29" s="374"/>
      <c r="AR29" s="374"/>
      <c r="AS29" s="385">
        <v>2.22</v>
      </c>
      <c r="AT29" s="374"/>
      <c r="AU29" s="374"/>
      <c r="AV29" s="374"/>
      <c r="AW29" s="374"/>
      <c r="AX29" s="374"/>
      <c r="AY29" s="395">
        <f>(K29-K28)</f>
        <v>24969</v>
      </c>
      <c r="AZ29" s="374"/>
      <c r="BA29" s="374"/>
      <c r="BB29" s="374"/>
      <c r="BC29" s="374"/>
      <c r="BD29" s="374"/>
      <c r="BE29" s="395">
        <f>(R29-R28)</f>
        <v>34207</v>
      </c>
      <c r="BF29" s="374"/>
      <c r="BG29" s="374"/>
      <c r="BH29" s="374"/>
      <c r="BI29" s="374"/>
      <c r="BJ29" s="374"/>
    </row>
    <row r="30" spans="6:62" s="17" customFormat="1" ht="13.5" customHeight="1">
      <c r="F30" s="389" t="s">
        <v>613</v>
      </c>
      <c r="G30" s="389"/>
      <c r="H30" s="5"/>
      <c r="I30" s="5"/>
      <c r="J30" s="5"/>
      <c r="K30" s="392">
        <v>336163</v>
      </c>
      <c r="L30" s="393">
        <v>336163</v>
      </c>
      <c r="M30" s="393">
        <v>336163</v>
      </c>
      <c r="N30" s="393">
        <v>336163</v>
      </c>
      <c r="O30" s="393">
        <v>336163</v>
      </c>
      <c r="P30" s="393">
        <v>336163</v>
      </c>
      <c r="Q30" s="393">
        <v>336163</v>
      </c>
      <c r="R30" s="394">
        <v>716124</v>
      </c>
      <c r="S30" s="394">
        <v>716124</v>
      </c>
      <c r="T30" s="394">
        <v>716124</v>
      </c>
      <c r="U30" s="394">
        <v>716124</v>
      </c>
      <c r="V30" s="394">
        <v>716124</v>
      </c>
      <c r="W30" s="394">
        <v>716124</v>
      </c>
      <c r="X30" s="394">
        <v>716124</v>
      </c>
      <c r="Y30" s="396">
        <v>350647</v>
      </c>
      <c r="Z30" s="378">
        <v>350647</v>
      </c>
      <c r="AA30" s="378">
        <v>350647</v>
      </c>
      <c r="AB30" s="378">
        <v>350647</v>
      </c>
      <c r="AC30" s="378">
        <v>350647</v>
      </c>
      <c r="AD30" s="378">
        <v>350647</v>
      </c>
      <c r="AE30" s="378"/>
      <c r="AF30" s="396">
        <v>365477</v>
      </c>
      <c r="AG30" s="378">
        <v>365477</v>
      </c>
      <c r="AH30" s="378">
        <v>365477</v>
      </c>
      <c r="AI30" s="378">
        <v>365477</v>
      </c>
      <c r="AJ30" s="378">
        <v>365477</v>
      </c>
      <c r="AK30" s="378">
        <v>365477</v>
      </c>
      <c r="AL30" s="378"/>
      <c r="AM30" s="396">
        <v>14870</v>
      </c>
      <c r="AN30" s="378">
        <v>14870</v>
      </c>
      <c r="AO30" s="378">
        <v>14870</v>
      </c>
      <c r="AP30" s="378">
        <v>14870</v>
      </c>
      <c r="AQ30" s="378">
        <v>14870</v>
      </c>
      <c r="AR30" s="378">
        <v>14870</v>
      </c>
      <c r="AS30" s="386">
        <v>2.13</v>
      </c>
      <c r="AT30" s="378">
        <v>2.13</v>
      </c>
      <c r="AU30" s="378">
        <v>2.13</v>
      </c>
      <c r="AV30" s="378">
        <v>2.13</v>
      </c>
      <c r="AW30" s="378">
        <v>2.13</v>
      </c>
      <c r="AX30" s="378">
        <v>2.13</v>
      </c>
      <c r="AY30" s="396">
        <v>23951</v>
      </c>
      <c r="AZ30" s="378">
        <v>23951</v>
      </c>
      <c r="BA30" s="378">
        <v>23951</v>
      </c>
      <c r="BB30" s="378">
        <v>23951</v>
      </c>
      <c r="BC30" s="378">
        <v>23951</v>
      </c>
      <c r="BD30" s="378">
        <v>23951</v>
      </c>
      <c r="BE30" s="396">
        <v>23785</v>
      </c>
      <c r="BF30" s="378">
        <v>23785</v>
      </c>
      <c r="BG30" s="378">
        <v>23785</v>
      </c>
      <c r="BH30" s="378">
        <v>23785</v>
      </c>
      <c r="BI30" s="378">
        <v>23785</v>
      </c>
      <c r="BJ30" s="378">
        <v>23785</v>
      </c>
    </row>
    <row r="31" spans="2:62" ht="9.75" customHeight="1">
      <c r="B31" s="8"/>
      <c r="C31" s="8"/>
      <c r="D31" s="8"/>
      <c r="E31" s="8"/>
      <c r="F31" s="8"/>
      <c r="G31" s="8"/>
      <c r="H31" s="8"/>
      <c r="I31" s="8"/>
      <c r="J31" s="8"/>
      <c r="K31" s="139"/>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3:61" ht="12" customHeight="1">
      <c r="C32" s="387" t="s">
        <v>251</v>
      </c>
      <c r="D32" s="387"/>
      <c r="E32" s="10" t="s">
        <v>626</v>
      </c>
      <c r="F32" s="383" t="s">
        <v>642</v>
      </c>
      <c r="G32" s="383"/>
      <c r="H32" s="332" t="s">
        <v>187</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Q32" s="19"/>
      <c r="AR32" s="19"/>
      <c r="AS32" s="19"/>
      <c r="AT32" s="19"/>
      <c r="AU32" s="19"/>
      <c r="AV32" s="19"/>
      <c r="AW32" s="19"/>
      <c r="AX32" s="19"/>
      <c r="AY32" s="19"/>
      <c r="AZ32" s="19"/>
      <c r="BA32" s="19"/>
      <c r="BB32" s="19"/>
      <c r="BC32" s="19"/>
      <c r="BD32" s="19"/>
      <c r="BE32" s="19"/>
      <c r="BF32" s="19"/>
      <c r="BG32" s="19"/>
      <c r="BH32" s="5"/>
      <c r="BI32" s="5"/>
    </row>
    <row r="33" spans="5:61" ht="12" customHeight="1">
      <c r="E33" s="10"/>
      <c r="F33" s="383" t="s">
        <v>636</v>
      </c>
      <c r="G33" s="383"/>
      <c r="H33" s="333" t="s">
        <v>188</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row>
    <row r="34" spans="6:61" ht="12" customHeight="1">
      <c r="F34" s="383" t="s">
        <v>637</v>
      </c>
      <c r="G34" s="383"/>
      <c r="H34" s="334" t="s">
        <v>643</v>
      </c>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20"/>
    </row>
    <row r="35" spans="8:61" ht="12" customHeight="1">
      <c r="H35" s="334" t="s">
        <v>644</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row>
    <row r="36" spans="2:61" ht="12" customHeight="1">
      <c r="B36" s="381" t="s">
        <v>645</v>
      </c>
      <c r="C36" s="381"/>
      <c r="D36" s="381"/>
      <c r="E36" s="10" t="s">
        <v>627</v>
      </c>
      <c r="F36" s="334" t="s">
        <v>604</v>
      </c>
      <c r="BI36" s="9"/>
    </row>
    <row r="37" spans="2:61" ht="12" customHeight="1">
      <c r="B37" s="14"/>
      <c r="C37" s="14"/>
      <c r="D37" s="14"/>
      <c r="E37" s="10"/>
      <c r="BI37" s="9"/>
    </row>
    <row r="38" spans="2:61" s="22" customFormat="1" ht="18" customHeight="1">
      <c r="B38" s="382" t="s">
        <v>401</v>
      </c>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4"/>
    </row>
    <row r="39" spans="2:62" ht="12.75" customHeight="1">
      <c r="B39" s="368" t="s">
        <v>189</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row>
    <row r="40" spans="2:62" ht="9.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J40" s="6" t="s">
        <v>177</v>
      </c>
    </row>
    <row r="41" spans="2:62" ht="18" customHeight="1">
      <c r="B41" s="423" t="s">
        <v>190</v>
      </c>
      <c r="C41" s="424"/>
      <c r="D41" s="424"/>
      <c r="E41" s="424"/>
      <c r="F41" s="424"/>
      <c r="G41" s="424"/>
      <c r="H41" s="424"/>
      <c r="I41" s="424"/>
      <c r="J41" s="424"/>
      <c r="K41" s="424"/>
      <c r="L41" s="425"/>
      <c r="M41" s="431" t="s">
        <v>181</v>
      </c>
      <c r="N41" s="424"/>
      <c r="O41" s="424"/>
      <c r="P41" s="424"/>
      <c r="Q41" s="425"/>
      <c r="R41" s="403" t="s">
        <v>396</v>
      </c>
      <c r="S41" s="404"/>
      <c r="T41" s="404"/>
      <c r="U41" s="404"/>
      <c r="V41" s="404"/>
      <c r="W41" s="404"/>
      <c r="X41" s="404"/>
      <c r="Y41" s="404"/>
      <c r="Z41" s="404"/>
      <c r="AA41" s="404"/>
      <c r="AB41" s="404"/>
      <c r="AC41" s="404"/>
      <c r="AD41" s="404"/>
      <c r="AE41" s="404"/>
      <c r="AF41" s="407"/>
      <c r="AG41" s="403" t="s">
        <v>397</v>
      </c>
      <c r="AH41" s="404"/>
      <c r="AI41" s="404"/>
      <c r="AJ41" s="404"/>
      <c r="AK41" s="404"/>
      <c r="AL41" s="404"/>
      <c r="AM41" s="404"/>
      <c r="AN41" s="404"/>
      <c r="AO41" s="404"/>
      <c r="AP41" s="404"/>
      <c r="AQ41" s="404"/>
      <c r="AR41" s="404"/>
      <c r="AS41" s="404"/>
      <c r="AT41" s="404"/>
      <c r="AU41" s="407"/>
      <c r="AV41" s="403" t="s">
        <v>398</v>
      </c>
      <c r="AW41" s="404"/>
      <c r="AX41" s="404"/>
      <c r="AY41" s="404"/>
      <c r="AZ41" s="404"/>
      <c r="BA41" s="404"/>
      <c r="BB41" s="404"/>
      <c r="BC41" s="404"/>
      <c r="BD41" s="404"/>
      <c r="BE41" s="404"/>
      <c r="BF41" s="404"/>
      <c r="BG41" s="404"/>
      <c r="BH41" s="404"/>
      <c r="BI41" s="404"/>
      <c r="BJ41" s="404"/>
    </row>
    <row r="42" spans="2:62" ht="18" customHeight="1">
      <c r="B42" s="426"/>
      <c r="C42" s="426"/>
      <c r="D42" s="426"/>
      <c r="E42" s="426"/>
      <c r="F42" s="426"/>
      <c r="G42" s="426"/>
      <c r="H42" s="426"/>
      <c r="I42" s="426"/>
      <c r="J42" s="426"/>
      <c r="K42" s="426"/>
      <c r="L42" s="427"/>
      <c r="M42" s="432"/>
      <c r="N42" s="426"/>
      <c r="O42" s="426"/>
      <c r="P42" s="426"/>
      <c r="Q42" s="427"/>
      <c r="R42" s="408" t="s">
        <v>363</v>
      </c>
      <c r="S42" s="409"/>
      <c r="T42" s="409"/>
      <c r="U42" s="409"/>
      <c r="V42" s="410"/>
      <c r="W42" s="408" t="s">
        <v>182</v>
      </c>
      <c r="X42" s="409"/>
      <c r="Y42" s="409"/>
      <c r="Z42" s="409"/>
      <c r="AA42" s="410"/>
      <c r="AB42" s="408" t="s">
        <v>183</v>
      </c>
      <c r="AC42" s="409"/>
      <c r="AD42" s="409"/>
      <c r="AE42" s="409"/>
      <c r="AF42" s="410"/>
      <c r="AG42" s="408" t="s">
        <v>363</v>
      </c>
      <c r="AH42" s="409"/>
      <c r="AI42" s="409"/>
      <c r="AJ42" s="409"/>
      <c r="AK42" s="410"/>
      <c r="AL42" s="408" t="s">
        <v>182</v>
      </c>
      <c r="AM42" s="409"/>
      <c r="AN42" s="409"/>
      <c r="AO42" s="409"/>
      <c r="AP42" s="410"/>
      <c r="AQ42" s="408" t="s">
        <v>183</v>
      </c>
      <c r="AR42" s="409"/>
      <c r="AS42" s="409"/>
      <c r="AT42" s="409"/>
      <c r="AU42" s="410"/>
      <c r="AV42" s="408" t="s">
        <v>363</v>
      </c>
      <c r="AW42" s="409"/>
      <c r="AX42" s="409"/>
      <c r="AY42" s="409"/>
      <c r="AZ42" s="410"/>
      <c r="BA42" s="408" t="s">
        <v>182</v>
      </c>
      <c r="BB42" s="409"/>
      <c r="BC42" s="409"/>
      <c r="BD42" s="409"/>
      <c r="BE42" s="410"/>
      <c r="BF42" s="408" t="s">
        <v>183</v>
      </c>
      <c r="BG42" s="409"/>
      <c r="BH42" s="409"/>
      <c r="BI42" s="409"/>
      <c r="BJ42" s="409"/>
    </row>
    <row r="43" spans="3:15" ht="9.75" customHeight="1">
      <c r="C43" s="9"/>
      <c r="D43" s="9"/>
      <c r="E43" s="9"/>
      <c r="F43" s="9"/>
      <c r="G43" s="9"/>
      <c r="H43" s="10"/>
      <c r="I43" s="10"/>
      <c r="J43" s="323"/>
      <c r="K43" s="10"/>
      <c r="L43" s="10"/>
      <c r="M43" s="324"/>
      <c r="N43" s="5"/>
      <c r="O43" s="5"/>
    </row>
    <row r="44" spans="3:63" ht="13.5" customHeight="1">
      <c r="C44" s="398" t="s">
        <v>413</v>
      </c>
      <c r="D44" s="429"/>
      <c r="E44" s="429"/>
      <c r="F44" s="429"/>
      <c r="G44" s="384" t="s">
        <v>628</v>
      </c>
      <c r="H44" s="402"/>
      <c r="I44" s="402"/>
      <c r="J44" s="368" t="s">
        <v>186</v>
      </c>
      <c r="K44" s="368"/>
      <c r="L44" s="15"/>
      <c r="M44" s="397">
        <v>564156</v>
      </c>
      <c r="N44" s="380"/>
      <c r="O44" s="380"/>
      <c r="P44" s="380"/>
      <c r="Q44" s="380"/>
      <c r="R44" s="379">
        <f>SUM(V44:AD44)</f>
        <v>118509</v>
      </c>
      <c r="S44" s="374"/>
      <c r="T44" s="374"/>
      <c r="U44" s="374"/>
      <c r="V44" s="374"/>
      <c r="W44" s="379">
        <v>60769</v>
      </c>
      <c r="X44" s="380"/>
      <c r="Y44" s="380"/>
      <c r="Z44" s="380"/>
      <c r="AA44" s="380"/>
      <c r="AB44" s="379">
        <v>57740</v>
      </c>
      <c r="AC44" s="374"/>
      <c r="AD44" s="374"/>
      <c r="AE44" s="374"/>
      <c r="AF44" s="374"/>
      <c r="AG44" s="379">
        <f>SUM(AK44:AS44)</f>
        <v>407489</v>
      </c>
      <c r="AH44" s="380"/>
      <c r="AI44" s="380"/>
      <c r="AJ44" s="380"/>
      <c r="AK44" s="380"/>
      <c r="AL44" s="379">
        <v>208046</v>
      </c>
      <c r="AM44" s="374"/>
      <c r="AN44" s="374"/>
      <c r="AO44" s="374"/>
      <c r="AP44" s="374"/>
      <c r="AQ44" s="379">
        <v>199443</v>
      </c>
      <c r="AR44" s="380"/>
      <c r="AS44" s="380"/>
      <c r="AT44" s="380"/>
      <c r="AU44" s="380"/>
      <c r="AV44" s="379">
        <f>SUM(AZ44:BH44)</f>
        <v>37276</v>
      </c>
      <c r="AW44" s="374"/>
      <c r="AX44" s="374"/>
      <c r="AY44" s="374"/>
      <c r="AZ44" s="374"/>
      <c r="BA44" s="379">
        <v>16346</v>
      </c>
      <c r="BB44" s="380"/>
      <c r="BC44" s="380"/>
      <c r="BD44" s="380"/>
      <c r="BE44" s="380"/>
      <c r="BF44" s="379">
        <v>20930</v>
      </c>
      <c r="BG44" s="374"/>
      <c r="BH44" s="374"/>
      <c r="BI44" s="374"/>
      <c r="BJ44" s="374"/>
      <c r="BK44" s="218"/>
    </row>
    <row r="45" spans="3:63" ht="13.5" customHeight="1">
      <c r="C45" s="9"/>
      <c r="D45" s="9"/>
      <c r="E45" s="9"/>
      <c r="G45" s="384" t="s">
        <v>622</v>
      </c>
      <c r="H45" s="402"/>
      <c r="I45" s="402"/>
      <c r="J45" s="5"/>
      <c r="L45" s="15"/>
      <c r="M45" s="397">
        <v>587887</v>
      </c>
      <c r="N45" s="380"/>
      <c r="O45" s="380"/>
      <c r="P45" s="380"/>
      <c r="Q45" s="380"/>
      <c r="R45" s="379">
        <f>SUM(V45:AD45)</f>
        <v>105577</v>
      </c>
      <c r="S45" s="374"/>
      <c r="T45" s="374"/>
      <c r="U45" s="374"/>
      <c r="V45" s="374"/>
      <c r="W45" s="379">
        <v>54097</v>
      </c>
      <c r="X45" s="380"/>
      <c r="Y45" s="380"/>
      <c r="Z45" s="380"/>
      <c r="AA45" s="380"/>
      <c r="AB45" s="379">
        <v>51480</v>
      </c>
      <c r="AC45" s="374"/>
      <c r="AD45" s="374"/>
      <c r="AE45" s="374"/>
      <c r="AF45" s="374"/>
      <c r="AG45" s="379">
        <f>SUM(AK45:AS45)</f>
        <v>435973</v>
      </c>
      <c r="AH45" s="380"/>
      <c r="AI45" s="380"/>
      <c r="AJ45" s="380"/>
      <c r="AK45" s="380"/>
      <c r="AL45" s="379">
        <v>223090</v>
      </c>
      <c r="AM45" s="374"/>
      <c r="AN45" s="374"/>
      <c r="AO45" s="374"/>
      <c r="AP45" s="374"/>
      <c r="AQ45" s="379">
        <v>212883</v>
      </c>
      <c r="AR45" s="380"/>
      <c r="AS45" s="380"/>
      <c r="AT45" s="380"/>
      <c r="AU45" s="380"/>
      <c r="AV45" s="379">
        <f>SUM(AZ45:BH45)</f>
        <v>45925</v>
      </c>
      <c r="AW45" s="374"/>
      <c r="AX45" s="374"/>
      <c r="AY45" s="374"/>
      <c r="AZ45" s="374"/>
      <c r="BA45" s="379">
        <v>19772</v>
      </c>
      <c r="BB45" s="380"/>
      <c r="BC45" s="380"/>
      <c r="BD45" s="380"/>
      <c r="BE45" s="380"/>
      <c r="BF45" s="379">
        <v>26153</v>
      </c>
      <c r="BG45" s="374"/>
      <c r="BH45" s="374"/>
      <c r="BI45" s="374"/>
      <c r="BJ45" s="374"/>
      <c r="BK45" s="218"/>
    </row>
    <row r="46" spans="3:63" ht="13.5" customHeight="1">
      <c r="C46" s="398" t="s">
        <v>414</v>
      </c>
      <c r="D46" s="429"/>
      <c r="E46" s="429"/>
      <c r="F46" s="429"/>
      <c r="G46" s="384" t="s">
        <v>196</v>
      </c>
      <c r="H46" s="402"/>
      <c r="I46" s="402"/>
      <c r="J46" s="368" t="s">
        <v>186</v>
      </c>
      <c r="K46" s="368"/>
      <c r="L46" s="15"/>
      <c r="M46" s="397">
        <v>618663</v>
      </c>
      <c r="N46" s="380"/>
      <c r="O46" s="380"/>
      <c r="P46" s="380"/>
      <c r="Q46" s="380"/>
      <c r="R46" s="379">
        <f>SUM(V46:AD46)</f>
        <v>92988</v>
      </c>
      <c r="S46" s="374"/>
      <c r="T46" s="374"/>
      <c r="U46" s="374"/>
      <c r="V46" s="374"/>
      <c r="W46" s="379">
        <v>47619</v>
      </c>
      <c r="X46" s="380"/>
      <c r="Y46" s="380"/>
      <c r="Z46" s="380"/>
      <c r="AA46" s="380"/>
      <c r="AB46" s="379">
        <v>45369</v>
      </c>
      <c r="AC46" s="374"/>
      <c r="AD46" s="374"/>
      <c r="AE46" s="374"/>
      <c r="AF46" s="374"/>
      <c r="AG46" s="379">
        <f>SUM(AK46:AS46)</f>
        <v>463246</v>
      </c>
      <c r="AH46" s="380"/>
      <c r="AI46" s="380"/>
      <c r="AJ46" s="380"/>
      <c r="AK46" s="380"/>
      <c r="AL46" s="379">
        <v>236639</v>
      </c>
      <c r="AM46" s="374"/>
      <c r="AN46" s="374"/>
      <c r="AO46" s="374"/>
      <c r="AP46" s="374"/>
      <c r="AQ46" s="379">
        <v>226607</v>
      </c>
      <c r="AR46" s="380"/>
      <c r="AS46" s="380"/>
      <c r="AT46" s="380"/>
      <c r="AU46" s="380"/>
      <c r="AV46" s="379">
        <f>SUM(AZ46:BH46)</f>
        <v>58412</v>
      </c>
      <c r="AW46" s="374"/>
      <c r="AX46" s="374"/>
      <c r="AY46" s="374"/>
      <c r="AZ46" s="374"/>
      <c r="BA46" s="379">
        <v>25014</v>
      </c>
      <c r="BB46" s="380"/>
      <c r="BC46" s="380"/>
      <c r="BD46" s="380"/>
      <c r="BE46" s="380"/>
      <c r="BF46" s="379">
        <v>33398</v>
      </c>
      <c r="BG46" s="374"/>
      <c r="BH46" s="374"/>
      <c r="BI46" s="374"/>
      <c r="BJ46" s="374"/>
      <c r="BK46" s="218"/>
    </row>
    <row r="47" spans="7:63" ht="13.5" customHeight="1">
      <c r="G47" s="384" t="s">
        <v>197</v>
      </c>
      <c r="H47" s="402"/>
      <c r="I47" s="402"/>
      <c r="J47" s="5"/>
      <c r="L47" s="15"/>
      <c r="M47" s="397">
        <v>635746</v>
      </c>
      <c r="N47" s="380"/>
      <c r="O47" s="380"/>
      <c r="P47" s="380"/>
      <c r="Q47" s="380"/>
      <c r="R47" s="379">
        <f>SUM(V47:AD47)</f>
        <v>87038</v>
      </c>
      <c r="S47" s="374"/>
      <c r="T47" s="374"/>
      <c r="U47" s="374"/>
      <c r="V47" s="374"/>
      <c r="W47" s="379">
        <v>44601</v>
      </c>
      <c r="X47" s="380"/>
      <c r="Y47" s="380"/>
      <c r="Z47" s="380"/>
      <c r="AA47" s="380"/>
      <c r="AB47" s="379">
        <v>42437</v>
      </c>
      <c r="AC47" s="374"/>
      <c r="AD47" s="374"/>
      <c r="AE47" s="374"/>
      <c r="AF47" s="374"/>
      <c r="AG47" s="379">
        <f>SUM(AK47:AS47)</f>
        <v>466364</v>
      </c>
      <c r="AH47" s="380"/>
      <c r="AI47" s="380"/>
      <c r="AJ47" s="380"/>
      <c r="AK47" s="380"/>
      <c r="AL47" s="379">
        <v>236542</v>
      </c>
      <c r="AM47" s="374"/>
      <c r="AN47" s="374"/>
      <c r="AO47" s="374"/>
      <c r="AP47" s="374"/>
      <c r="AQ47" s="379">
        <v>229822</v>
      </c>
      <c r="AR47" s="380"/>
      <c r="AS47" s="380"/>
      <c r="AT47" s="380"/>
      <c r="AU47" s="380"/>
      <c r="AV47" s="379">
        <v>76694</v>
      </c>
      <c r="AW47" s="374"/>
      <c r="AX47" s="374"/>
      <c r="AY47" s="374"/>
      <c r="AZ47" s="374"/>
      <c r="BA47" s="379">
        <v>33708</v>
      </c>
      <c r="BB47" s="380"/>
      <c r="BC47" s="380"/>
      <c r="BD47" s="380"/>
      <c r="BE47" s="380"/>
      <c r="BF47" s="379">
        <v>43256</v>
      </c>
      <c r="BG47" s="374"/>
      <c r="BH47" s="374"/>
      <c r="BI47" s="374"/>
      <c r="BJ47" s="374"/>
      <c r="BK47" s="218"/>
    </row>
    <row r="48" spans="7:63" s="17" customFormat="1" ht="13.5" customHeight="1">
      <c r="G48" s="384" t="s">
        <v>479</v>
      </c>
      <c r="H48" s="402"/>
      <c r="I48" s="402"/>
      <c r="J48" s="5"/>
      <c r="L48" s="214"/>
      <c r="M48" s="397">
        <v>658132</v>
      </c>
      <c r="N48" s="380"/>
      <c r="O48" s="380"/>
      <c r="P48" s="380"/>
      <c r="Q48" s="380"/>
      <c r="R48" s="379">
        <f>SUM(V48:AD48)</f>
        <v>85765</v>
      </c>
      <c r="S48" s="374"/>
      <c r="T48" s="374"/>
      <c r="U48" s="374"/>
      <c r="V48" s="374"/>
      <c r="W48" s="379">
        <v>43979</v>
      </c>
      <c r="X48" s="380"/>
      <c r="Y48" s="380"/>
      <c r="Z48" s="380"/>
      <c r="AA48" s="380"/>
      <c r="AB48" s="379">
        <v>41786</v>
      </c>
      <c r="AC48" s="374"/>
      <c r="AD48" s="374"/>
      <c r="AE48" s="374"/>
      <c r="AF48" s="374"/>
      <c r="AG48" s="379">
        <f>SUM(AK48:AS48)</f>
        <v>467346</v>
      </c>
      <c r="AH48" s="380"/>
      <c r="AI48" s="380"/>
      <c r="AJ48" s="380"/>
      <c r="AK48" s="380"/>
      <c r="AL48" s="379">
        <v>235839</v>
      </c>
      <c r="AM48" s="374"/>
      <c r="AN48" s="374"/>
      <c r="AO48" s="374"/>
      <c r="AP48" s="374"/>
      <c r="AQ48" s="379">
        <v>231507</v>
      </c>
      <c r="AR48" s="380"/>
      <c r="AS48" s="380"/>
      <c r="AT48" s="380"/>
      <c r="AU48" s="380"/>
      <c r="AV48" s="379">
        <f>SUM(AZ48:BH48)</f>
        <v>101039</v>
      </c>
      <c r="AW48" s="374"/>
      <c r="AX48" s="374"/>
      <c r="AY48" s="374"/>
      <c r="AZ48" s="374"/>
      <c r="BA48" s="379">
        <v>44889</v>
      </c>
      <c r="BB48" s="380"/>
      <c r="BC48" s="380"/>
      <c r="BD48" s="380"/>
      <c r="BE48" s="380"/>
      <c r="BF48" s="379">
        <v>56150</v>
      </c>
      <c r="BG48" s="374"/>
      <c r="BH48" s="374"/>
      <c r="BI48" s="374"/>
      <c r="BJ48" s="374"/>
      <c r="BK48" s="218"/>
    </row>
    <row r="49" spans="7:63" s="17" customFormat="1" ht="13.5" customHeight="1">
      <c r="G49" s="384" t="s">
        <v>480</v>
      </c>
      <c r="H49" s="402"/>
      <c r="I49" s="402"/>
      <c r="J49" s="5"/>
      <c r="L49" s="15"/>
      <c r="M49" s="397">
        <v>692339</v>
      </c>
      <c r="N49" s="380"/>
      <c r="O49" s="380"/>
      <c r="P49" s="380"/>
      <c r="Q49" s="380"/>
      <c r="R49" s="379">
        <v>80006</v>
      </c>
      <c r="S49" s="374"/>
      <c r="T49" s="374"/>
      <c r="U49" s="374"/>
      <c r="V49" s="374"/>
      <c r="W49" s="379">
        <v>40797</v>
      </c>
      <c r="X49" s="380"/>
      <c r="Y49" s="380"/>
      <c r="Z49" s="380"/>
      <c r="AA49" s="380"/>
      <c r="AB49" s="379">
        <v>39209</v>
      </c>
      <c r="AC49" s="374"/>
      <c r="AD49" s="374"/>
      <c r="AE49" s="374"/>
      <c r="AF49" s="374"/>
      <c r="AG49" s="379">
        <v>432926</v>
      </c>
      <c r="AH49" s="380"/>
      <c r="AI49" s="380"/>
      <c r="AJ49" s="380"/>
      <c r="AK49" s="380"/>
      <c r="AL49" s="379">
        <v>215963</v>
      </c>
      <c r="AM49" s="374"/>
      <c r="AN49" s="374"/>
      <c r="AO49" s="374"/>
      <c r="AP49" s="374"/>
      <c r="AQ49" s="379">
        <v>216963</v>
      </c>
      <c r="AR49" s="380"/>
      <c r="AS49" s="380"/>
      <c r="AT49" s="380"/>
      <c r="AU49" s="380"/>
      <c r="AV49" s="379">
        <v>130755</v>
      </c>
      <c r="AW49" s="374"/>
      <c r="AX49" s="374"/>
      <c r="AY49" s="374"/>
      <c r="AZ49" s="374"/>
      <c r="BA49" s="379">
        <v>58750</v>
      </c>
      <c r="BB49" s="380"/>
      <c r="BC49" s="380"/>
      <c r="BD49" s="380"/>
      <c r="BE49" s="380"/>
      <c r="BF49" s="379">
        <v>72005</v>
      </c>
      <c r="BG49" s="374"/>
      <c r="BH49" s="374"/>
      <c r="BI49" s="374"/>
      <c r="BJ49" s="374"/>
      <c r="BK49" s="218"/>
    </row>
    <row r="50" spans="7:63" s="17" customFormat="1" ht="13.5" customHeight="1">
      <c r="G50" s="389" t="s">
        <v>195</v>
      </c>
      <c r="H50" s="422"/>
      <c r="I50" s="422"/>
      <c r="J50" s="18"/>
      <c r="M50" s="375">
        <v>716124</v>
      </c>
      <c r="N50" s="376">
        <v>716124</v>
      </c>
      <c r="O50" s="376">
        <v>716124</v>
      </c>
      <c r="P50" s="376">
        <v>716124</v>
      </c>
      <c r="Q50" s="376">
        <v>716124</v>
      </c>
      <c r="R50" s="435">
        <f>W50+AB50</f>
        <v>87257</v>
      </c>
      <c r="S50" s="378"/>
      <c r="T50" s="378"/>
      <c r="U50" s="378"/>
      <c r="V50" s="378"/>
      <c r="W50" s="435">
        <f>2909+2926+2981+2919+2755+2822+2830+3039+3006+3133+3132+3031+3138+3139+3007</f>
        <v>44767</v>
      </c>
      <c r="X50" s="376">
        <f>2909+2926+2981+2919+2755+2822+2830+3039+3006+3133+3132+3031+3138+3139+3007</f>
        <v>44767</v>
      </c>
      <c r="Y50" s="376">
        <f>2909+2926+2981+2919+2755+2822+2830+3039+3006+3133+3132+3031+3138+3139+3007</f>
        <v>44767</v>
      </c>
      <c r="Z50" s="376">
        <f>2909+2926+2981+2919+2755+2822+2830+3039+3006+3133+3132+3031+3138+3139+3007</f>
        <v>44767</v>
      </c>
      <c r="AA50" s="376">
        <f>2909+2926+2981+2919+2755+2822+2830+3039+3006+3133+3132+3031+3138+3139+3007</f>
        <v>44767</v>
      </c>
      <c r="AB50" s="435">
        <f>2849+2829+2806+2711+2556+2673+2757+2732+2873+2905+2961+2969+2972+2977+2920</f>
        <v>42490</v>
      </c>
      <c r="AC50" s="378">
        <f>2849+2829+2806+2711+2556+2673+2757+2732+2873+2905+2961+2969+2972+2977+2920</f>
        <v>42490</v>
      </c>
      <c r="AD50" s="378">
        <f>2849+2829+2806+2711+2556+2673+2757+2732+2873+2905+2961+2969+2972+2977+2920</f>
        <v>42490</v>
      </c>
      <c r="AE50" s="378">
        <f>2849+2829+2806+2711+2556+2673+2757+2732+2873+2905+2961+2969+2972+2977+2920</f>
        <v>42490</v>
      </c>
      <c r="AF50" s="378">
        <f>2849+2829+2806+2711+2556+2673+2757+2732+2873+2905+2961+2969+2972+2977+2920</f>
        <v>42490</v>
      </c>
      <c r="AG50" s="435">
        <f>AL50+AQ50</f>
        <v>488098</v>
      </c>
      <c r="AH50" s="376"/>
      <c r="AI50" s="376"/>
      <c r="AJ50" s="376"/>
      <c r="AK50" s="376"/>
      <c r="AL50" s="435">
        <f>3256+3164+2972+3170+3447+3650+3815+4144+4343+4561+5023+5147+5181+5240+5162+5632+6066+6214+6153+6648+6788+7113+7100+7055+6990+6798+6097+6019+6182+5094+5962+5498+5121+4790+4544+4540+4431+4102+3931+3790+3774+3745+3854+3979+4047+4359+4809+4897+4719+2817</f>
        <v>245933</v>
      </c>
      <c r="AM50" s="378">
        <f>3256+3164+2972+3170+3447+3650+3815+4144+4343+4561+5023+5147+5181+5240+5162+5632+6066+6214+6153+6648+6788+7113+7100+7055+6990+6798+6097+6019+6182+5094+5962+5498+5121+4790+4544+4540+4431+4102+3931+3790+3774+3745+3854+3979+4047+4359+4809+4897+4719+2817</f>
        <v>245933</v>
      </c>
      <c r="AN50" s="378">
        <f>3256+3164+2972+3170+3447+3650+3815+4144+4343+4561+5023+5147+5181+5240+5162+5632+6066+6214+6153+6648+6788+7113+7100+7055+6990+6798+6097+6019+6182+5094+5962+5498+5121+4790+4544+4540+4431+4102+3931+3790+3774+3745+3854+3979+4047+4359+4809+4897+4719+2817</f>
        <v>245933</v>
      </c>
      <c r="AO50" s="378">
        <f>3256+3164+2972+3170+3447+3650+3815+4144+4343+4561+5023+5147+5181+5240+5162+5632+6066+6214+6153+6648+6788+7113+7100+7055+6990+6798+6097+6019+6182+5094+5962+5498+5121+4790+4544+4540+4431+4102+3931+3790+3774+3745+3854+3979+4047+4359+4809+4897+4719+2817</f>
        <v>245933</v>
      </c>
      <c r="AP50" s="378">
        <f>3256+3164+2972+3170+3447+3650+3815+4144+4343+4561+5023+5147+5181+5240+5162+5632+6066+6214+6153+6648+6788+7113+7100+7055+6990+6798+6097+6019+6182+5094+5962+5498+5121+4790+4544+4540+4431+4102+3931+3790+3774+3745+3854+3979+4047+4359+4809+4897+4719+2817</f>
        <v>245933</v>
      </c>
      <c r="AQ50" s="435">
        <f>2924+2958+2984+3284+3384+3718+4087+4228+4632+4686+5072+5237+5229+5147+5103+5302+5502+5370+5450+5761+5791+6118+6341+6149+6138+6365+6778+6644+6490+5310+6209+5883+5697+5285+5048+4878+4279+3903+3831+3653+3730+3481+3686+3866+4042+4482+4898+4941+4955+3236</f>
        <v>242165</v>
      </c>
      <c r="AR50" s="376">
        <f>2924+2958+2984+3284+3384+3718+4087+4228+4632+4686+5072+5237+5229+5147+5103+5302+5502+5370+5450+5761+5791+6118+6341+6149+6138+6365+6778+6644+6490+5310+6209+5883+5697+5285+5048+4878+4279+3903+3831+3653+3730+3481+3686+3866+4042+4482+4898+4941+4955+3236</f>
        <v>242165</v>
      </c>
      <c r="AS50" s="376">
        <f>2924+2958+2984+3284+3384+3718+4087+4228+4632+4686+5072+5237+5229+5147+5103+5302+5502+5370+5450+5761+5791+6118+6341+6149+6138+6365+6778+6644+6490+5310+6209+5883+5697+5285+5048+4878+4279+3903+3831+3653+3730+3481+3686+3866+4042+4482+4898+4941+4955+3236</f>
        <v>242165</v>
      </c>
      <c r="AT50" s="376">
        <f>2924+2958+2984+3284+3384+3718+4087+4228+4632+4686+5072+5237+5229+5147+5103+5302+5502+5370+5450+5761+5791+6118+6341+6149+6138+6365+6778+6644+6490+5310+6209+5883+5697+5285+5048+4878+4279+3903+3831+3653+3730+3481+3686+3866+4042+4482+4898+4941+4955+3236</f>
        <v>242165</v>
      </c>
      <c r="AU50" s="376">
        <f>2924+2958+2984+3284+3384+3718+4087+4228+4632+4686+5072+5237+5229+5147+5103+5302+5502+5370+5450+5761+5791+6118+6341+6149+6138+6365+6778+6644+6490+5310+6209+5883+5697+5285+5048+4878+4279+3903+3831+3653+3730+3481+3686+3866+4042+4482+4898+4941+4955+3236</f>
        <v>242165</v>
      </c>
      <c r="AV50" s="435">
        <f>BA50+BF50</f>
        <v>137625</v>
      </c>
      <c r="AW50" s="378"/>
      <c r="AX50" s="378"/>
      <c r="AY50" s="378"/>
      <c r="AZ50" s="378"/>
      <c r="BA50" s="435">
        <v>58375</v>
      </c>
      <c r="BB50" s="376">
        <f>3056+3630+3665+3542+3487+3178+2898+2871+3015+3078+2896+2615+2704+2448+2229+1969+1641+1668+1478+1282+1100+807+667+571+441+376+266+225+172+114+93+55+44+35+26+33+1572</f>
        <v>59947</v>
      </c>
      <c r="BC50" s="376">
        <f>3056+3630+3665+3542+3487+3178+2898+2871+3015+3078+2896+2615+2704+2448+2229+1969+1641+1668+1478+1282+1100+807+667+571+441+376+266+225+172+114+93+55+44+35+26+33+1572</f>
        <v>59947</v>
      </c>
      <c r="BD50" s="376">
        <f>3056+3630+3665+3542+3487+3178+2898+2871+3015+3078+2896+2615+2704+2448+2229+1969+1641+1668+1478+1282+1100+807+667+571+441+376+266+225+172+114+93+55+44+35+26+33+1572</f>
        <v>59947</v>
      </c>
      <c r="BE50" s="376">
        <f>3056+3630+3665+3542+3487+3178+2898+2871+3015+3078+2896+2615+2704+2448+2229+1969+1641+1668+1478+1282+1100+807+667+571+441+376+266+225+172+114+93+55+44+35+26+33+1572</f>
        <v>59947</v>
      </c>
      <c r="BF50" s="435">
        <v>79250</v>
      </c>
      <c r="BG50" s="378">
        <f>3339+4214+4268+4239+4358+4022+3458+3672+3935+4009+3719+3365+3413+3315+3040+2768+2512+2411+2295+1999+1732+1459+1352+1249+1100+907+634+542+409+396+289+267+176+131+79+177+1572</f>
        <v>80822</v>
      </c>
      <c r="BH50" s="378">
        <f>3339+4214+4268+4239+4358+4022+3458+3672+3935+4009+3719+3365+3413+3315+3040+2768+2512+2411+2295+1999+1732+1459+1352+1249+1100+907+634+542+409+396+289+267+176+131+79+177+1572</f>
        <v>80822</v>
      </c>
      <c r="BI50" s="378">
        <f>3339+4214+4268+4239+4358+4022+3458+3672+3935+4009+3719+3365+3413+3315+3040+2768+2512+2411+2295+1999+1732+1459+1352+1249+1100+907+634+542+409+396+289+267+176+131+79+177+1572</f>
        <v>80822</v>
      </c>
      <c r="BJ50" s="378">
        <f>3339+4214+4268+4239+4358+4022+3458+3672+3935+4009+3719+3365+3413+3315+3040+2768+2512+2411+2295+1999+1732+1459+1352+1249+1100+907+634+542+409+396+289+267+176+131+79+177+1572</f>
        <v>80822</v>
      </c>
      <c r="BK50" s="218"/>
    </row>
    <row r="51" spans="2:62" ht="9.75" customHeight="1">
      <c r="B51" s="8"/>
      <c r="C51" s="8"/>
      <c r="D51" s="8"/>
      <c r="E51" s="8"/>
      <c r="F51" s="8"/>
      <c r="G51" s="23"/>
      <c r="H51" s="8"/>
      <c r="I51" s="8"/>
      <c r="J51" s="8"/>
      <c r="K51" s="8"/>
      <c r="L51" s="8"/>
      <c r="M51" s="139"/>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row>
    <row r="52" spans="2:60" ht="9.75" customHeight="1">
      <c r="B52" s="369" t="s">
        <v>277</v>
      </c>
      <c r="C52" s="369"/>
      <c r="D52" s="369"/>
      <c r="E52" s="321" t="s">
        <v>592</v>
      </c>
      <c r="F52" s="332" t="s">
        <v>587</v>
      </c>
      <c r="G52" s="320"/>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row>
    <row r="53" spans="2:60" ht="12" customHeight="1">
      <c r="B53" s="428" t="s">
        <v>192</v>
      </c>
      <c r="C53" s="428"/>
      <c r="D53" s="428"/>
      <c r="E53" s="9" t="s">
        <v>629</v>
      </c>
      <c r="F53" s="333" t="s">
        <v>603</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row>
    <row r="54" spans="2:60" ht="12" customHeight="1">
      <c r="B54" s="7"/>
      <c r="C54" s="7"/>
      <c r="D54" s="7"/>
      <c r="E54" s="9"/>
      <c r="F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row>
    <row r="55" spans="2:62" ht="12.75" customHeight="1">
      <c r="B55" s="430" t="s">
        <v>193</v>
      </c>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row>
    <row r="56" spans="2:62" ht="9.75" customHeight="1">
      <c r="B56" s="419" t="s">
        <v>194</v>
      </c>
      <c r="C56" s="419"/>
      <c r="D56" s="419"/>
      <c r="E56" s="419"/>
      <c r="F56" s="419"/>
      <c r="G56" s="419"/>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J56" s="6" t="s">
        <v>177</v>
      </c>
    </row>
    <row r="57" spans="2:62" ht="18" customHeight="1">
      <c r="B57" s="423" t="s">
        <v>190</v>
      </c>
      <c r="C57" s="424"/>
      <c r="D57" s="424"/>
      <c r="E57" s="424"/>
      <c r="F57" s="424"/>
      <c r="G57" s="424"/>
      <c r="H57" s="424"/>
      <c r="I57" s="424"/>
      <c r="J57" s="424"/>
      <c r="K57" s="424"/>
      <c r="L57" s="425"/>
      <c r="M57" s="431" t="s">
        <v>181</v>
      </c>
      <c r="N57" s="424"/>
      <c r="O57" s="424"/>
      <c r="P57" s="424"/>
      <c r="Q57" s="425"/>
      <c r="R57" s="403" t="s">
        <v>396</v>
      </c>
      <c r="S57" s="404"/>
      <c r="T57" s="404"/>
      <c r="U57" s="404"/>
      <c r="V57" s="404"/>
      <c r="W57" s="404"/>
      <c r="X57" s="404"/>
      <c r="Y57" s="404"/>
      <c r="Z57" s="404"/>
      <c r="AA57" s="404"/>
      <c r="AB57" s="404"/>
      <c r="AC57" s="404"/>
      <c r="AD57" s="404"/>
      <c r="AE57" s="404"/>
      <c r="AF57" s="407"/>
      <c r="AG57" s="403" t="s">
        <v>397</v>
      </c>
      <c r="AH57" s="404"/>
      <c r="AI57" s="404"/>
      <c r="AJ57" s="404"/>
      <c r="AK57" s="404"/>
      <c r="AL57" s="404"/>
      <c r="AM57" s="404"/>
      <c r="AN57" s="404"/>
      <c r="AO57" s="404"/>
      <c r="AP57" s="404"/>
      <c r="AQ57" s="404"/>
      <c r="AR57" s="404"/>
      <c r="AS57" s="404"/>
      <c r="AT57" s="404"/>
      <c r="AU57" s="407"/>
      <c r="AV57" s="403" t="s">
        <v>398</v>
      </c>
      <c r="AW57" s="404"/>
      <c r="AX57" s="404"/>
      <c r="AY57" s="404"/>
      <c r="AZ57" s="404"/>
      <c r="BA57" s="404"/>
      <c r="BB57" s="404"/>
      <c r="BC57" s="404"/>
      <c r="BD57" s="404"/>
      <c r="BE57" s="404"/>
      <c r="BF57" s="404"/>
      <c r="BG57" s="404"/>
      <c r="BH57" s="404"/>
      <c r="BI57" s="404"/>
      <c r="BJ57" s="404"/>
    </row>
    <row r="58" spans="2:62" ht="18" customHeight="1">
      <c r="B58" s="426"/>
      <c r="C58" s="426"/>
      <c r="D58" s="426"/>
      <c r="E58" s="426"/>
      <c r="F58" s="426"/>
      <c r="G58" s="426"/>
      <c r="H58" s="426"/>
      <c r="I58" s="426"/>
      <c r="J58" s="426"/>
      <c r="K58" s="426"/>
      <c r="L58" s="427"/>
      <c r="M58" s="432"/>
      <c r="N58" s="426"/>
      <c r="O58" s="426"/>
      <c r="P58" s="426"/>
      <c r="Q58" s="427"/>
      <c r="R58" s="408" t="s">
        <v>363</v>
      </c>
      <c r="S58" s="409"/>
      <c r="T58" s="409"/>
      <c r="U58" s="409"/>
      <c r="V58" s="410"/>
      <c r="W58" s="408" t="s">
        <v>182</v>
      </c>
      <c r="X58" s="409"/>
      <c r="Y58" s="409"/>
      <c r="Z58" s="409"/>
      <c r="AA58" s="410"/>
      <c r="AB58" s="408" t="s">
        <v>183</v>
      </c>
      <c r="AC58" s="409"/>
      <c r="AD58" s="409"/>
      <c r="AE58" s="409"/>
      <c r="AF58" s="410"/>
      <c r="AG58" s="408" t="s">
        <v>363</v>
      </c>
      <c r="AH58" s="409"/>
      <c r="AI58" s="409"/>
      <c r="AJ58" s="409"/>
      <c r="AK58" s="410"/>
      <c r="AL58" s="408" t="s">
        <v>182</v>
      </c>
      <c r="AM58" s="409"/>
      <c r="AN58" s="409"/>
      <c r="AO58" s="409"/>
      <c r="AP58" s="410"/>
      <c r="AQ58" s="408" t="s">
        <v>183</v>
      </c>
      <c r="AR58" s="409"/>
      <c r="AS58" s="409"/>
      <c r="AT58" s="409"/>
      <c r="AU58" s="410"/>
      <c r="AV58" s="408" t="s">
        <v>363</v>
      </c>
      <c r="AW58" s="409"/>
      <c r="AX58" s="409"/>
      <c r="AY58" s="409"/>
      <c r="AZ58" s="410"/>
      <c r="BA58" s="408" t="s">
        <v>182</v>
      </c>
      <c r="BB58" s="409"/>
      <c r="BC58" s="409"/>
      <c r="BD58" s="409"/>
      <c r="BE58" s="410"/>
      <c r="BF58" s="408" t="s">
        <v>183</v>
      </c>
      <c r="BG58" s="409"/>
      <c r="BH58" s="409"/>
      <c r="BI58" s="409"/>
      <c r="BJ58" s="409"/>
    </row>
    <row r="59" spans="3:60" ht="9.75" customHeight="1">
      <c r="C59" s="25"/>
      <c r="D59" s="25"/>
      <c r="E59" s="25"/>
      <c r="F59" s="25"/>
      <c r="G59" s="25"/>
      <c r="H59" s="28"/>
      <c r="I59" s="28"/>
      <c r="J59" s="201"/>
      <c r="K59" s="28"/>
      <c r="L59" s="152"/>
      <c r="M59" s="28"/>
      <c r="N59" s="29"/>
      <c r="O59" s="29"/>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row>
    <row r="60" spans="3:62" ht="13.5" customHeight="1">
      <c r="C60" s="398" t="s">
        <v>413</v>
      </c>
      <c r="D60" s="429"/>
      <c r="E60" s="429"/>
      <c r="F60" s="429"/>
      <c r="G60" s="384" t="s">
        <v>628</v>
      </c>
      <c r="H60" s="402"/>
      <c r="I60" s="402"/>
      <c r="J60" s="368" t="s">
        <v>186</v>
      </c>
      <c r="K60" s="368"/>
      <c r="L60" s="325"/>
      <c r="M60" s="421">
        <v>100</v>
      </c>
      <c r="N60" s="374"/>
      <c r="O60" s="374"/>
      <c r="P60" s="374"/>
      <c r="Q60" s="374"/>
      <c r="R60" s="373">
        <v>21</v>
      </c>
      <c r="S60" s="374"/>
      <c r="T60" s="374"/>
      <c r="U60" s="374"/>
      <c r="V60" s="374"/>
      <c r="W60" s="373">
        <v>10.8</v>
      </c>
      <c r="X60" s="374"/>
      <c r="Y60" s="374"/>
      <c r="Z60" s="374"/>
      <c r="AA60" s="374"/>
      <c r="AB60" s="373">
        <v>10.2</v>
      </c>
      <c r="AC60" s="374"/>
      <c r="AD60" s="374"/>
      <c r="AE60" s="374"/>
      <c r="AF60" s="374"/>
      <c r="AG60" s="373">
        <v>72.2</v>
      </c>
      <c r="AH60" s="374"/>
      <c r="AI60" s="374"/>
      <c r="AJ60" s="374"/>
      <c r="AK60" s="374"/>
      <c r="AL60" s="373">
        <v>36.9</v>
      </c>
      <c r="AM60" s="374"/>
      <c r="AN60" s="374"/>
      <c r="AO60" s="374"/>
      <c r="AP60" s="374"/>
      <c r="AQ60" s="373">
        <v>35.3</v>
      </c>
      <c r="AR60" s="374"/>
      <c r="AS60" s="374"/>
      <c r="AT60" s="374"/>
      <c r="AU60" s="374"/>
      <c r="AV60" s="373">
        <v>6.6</v>
      </c>
      <c r="AW60" s="374"/>
      <c r="AX60" s="374"/>
      <c r="AY60" s="374"/>
      <c r="AZ60" s="374"/>
      <c r="BA60" s="373">
        <v>2.9</v>
      </c>
      <c r="BB60" s="374"/>
      <c r="BC60" s="374"/>
      <c r="BD60" s="374"/>
      <c r="BE60" s="374"/>
      <c r="BF60" s="373">
        <v>3.7</v>
      </c>
      <c r="BG60" s="374"/>
      <c r="BH60" s="374"/>
      <c r="BI60" s="374"/>
      <c r="BJ60" s="374"/>
    </row>
    <row r="61" spans="3:62" ht="13.5" customHeight="1">
      <c r="C61" s="9"/>
      <c r="D61" s="9"/>
      <c r="E61" s="9"/>
      <c r="G61" s="384" t="s">
        <v>622</v>
      </c>
      <c r="H61" s="402"/>
      <c r="I61" s="402"/>
      <c r="J61" s="5"/>
      <c r="L61" s="326"/>
      <c r="M61" s="421">
        <v>100</v>
      </c>
      <c r="N61" s="374"/>
      <c r="O61" s="374"/>
      <c r="P61" s="374"/>
      <c r="Q61" s="374"/>
      <c r="R61" s="373">
        <v>18</v>
      </c>
      <c r="S61" s="374"/>
      <c r="T61" s="374"/>
      <c r="U61" s="374"/>
      <c r="V61" s="374"/>
      <c r="W61" s="373">
        <v>9.2</v>
      </c>
      <c r="X61" s="374"/>
      <c r="Y61" s="374"/>
      <c r="Z61" s="374"/>
      <c r="AA61" s="374"/>
      <c r="AB61" s="373">
        <v>8.8</v>
      </c>
      <c r="AC61" s="374"/>
      <c r="AD61" s="374"/>
      <c r="AE61" s="374"/>
      <c r="AF61" s="374"/>
      <c r="AG61" s="373">
        <v>74.2</v>
      </c>
      <c r="AH61" s="374"/>
      <c r="AI61" s="374"/>
      <c r="AJ61" s="374"/>
      <c r="AK61" s="374"/>
      <c r="AL61" s="373">
        <v>37.9</v>
      </c>
      <c r="AM61" s="374"/>
      <c r="AN61" s="374"/>
      <c r="AO61" s="374"/>
      <c r="AP61" s="374"/>
      <c r="AQ61" s="373">
        <v>36.2</v>
      </c>
      <c r="AR61" s="374"/>
      <c r="AS61" s="374"/>
      <c r="AT61" s="374"/>
      <c r="AU61" s="374"/>
      <c r="AV61" s="373">
        <v>7.8</v>
      </c>
      <c r="AW61" s="374"/>
      <c r="AX61" s="374"/>
      <c r="AY61" s="374"/>
      <c r="AZ61" s="374"/>
      <c r="BA61" s="373">
        <v>3.4</v>
      </c>
      <c r="BB61" s="374"/>
      <c r="BC61" s="374"/>
      <c r="BD61" s="374"/>
      <c r="BE61" s="374"/>
      <c r="BF61" s="373">
        <v>4.4</v>
      </c>
      <c r="BG61" s="374"/>
      <c r="BH61" s="374"/>
      <c r="BI61" s="374"/>
      <c r="BJ61" s="374"/>
    </row>
    <row r="62" spans="3:62" ht="13.5" customHeight="1">
      <c r="C62" s="398" t="s">
        <v>414</v>
      </c>
      <c r="D62" s="429"/>
      <c r="E62" s="429"/>
      <c r="F62" s="429"/>
      <c r="G62" s="384" t="s">
        <v>196</v>
      </c>
      <c r="H62" s="402"/>
      <c r="I62" s="402"/>
      <c r="J62" s="368" t="s">
        <v>186</v>
      </c>
      <c r="K62" s="368"/>
      <c r="L62" s="326"/>
      <c r="M62" s="421">
        <v>100</v>
      </c>
      <c r="N62" s="374"/>
      <c r="O62" s="374"/>
      <c r="P62" s="374"/>
      <c r="Q62" s="374"/>
      <c r="R62" s="373">
        <v>15</v>
      </c>
      <c r="S62" s="374"/>
      <c r="T62" s="374"/>
      <c r="U62" s="374"/>
      <c r="V62" s="374"/>
      <c r="W62" s="373">
        <v>7.7</v>
      </c>
      <c r="X62" s="374"/>
      <c r="Y62" s="374"/>
      <c r="Z62" s="374"/>
      <c r="AA62" s="374"/>
      <c r="AB62" s="373">
        <v>7.3</v>
      </c>
      <c r="AC62" s="374"/>
      <c r="AD62" s="374"/>
      <c r="AE62" s="374"/>
      <c r="AF62" s="374"/>
      <c r="AG62" s="373">
        <v>74.9</v>
      </c>
      <c r="AH62" s="374"/>
      <c r="AI62" s="374"/>
      <c r="AJ62" s="374"/>
      <c r="AK62" s="374"/>
      <c r="AL62" s="373">
        <v>38.3</v>
      </c>
      <c r="AM62" s="374"/>
      <c r="AN62" s="374"/>
      <c r="AO62" s="374"/>
      <c r="AP62" s="374"/>
      <c r="AQ62" s="373">
        <v>36.6</v>
      </c>
      <c r="AR62" s="374"/>
      <c r="AS62" s="374"/>
      <c r="AT62" s="374"/>
      <c r="AU62" s="374"/>
      <c r="AV62" s="373">
        <v>9.4</v>
      </c>
      <c r="AW62" s="374"/>
      <c r="AX62" s="374"/>
      <c r="AY62" s="374"/>
      <c r="AZ62" s="374"/>
      <c r="BA62" s="373">
        <v>4</v>
      </c>
      <c r="BB62" s="374"/>
      <c r="BC62" s="374"/>
      <c r="BD62" s="374"/>
      <c r="BE62" s="374"/>
      <c r="BF62" s="373">
        <v>5.4</v>
      </c>
      <c r="BG62" s="374"/>
      <c r="BH62" s="374"/>
      <c r="BI62" s="374"/>
      <c r="BJ62" s="374"/>
    </row>
    <row r="63" spans="7:62" ht="13.5" customHeight="1">
      <c r="G63" s="384" t="s">
        <v>197</v>
      </c>
      <c r="H63" s="402"/>
      <c r="I63" s="402"/>
      <c r="J63" s="5"/>
      <c r="L63" s="326"/>
      <c r="M63" s="421">
        <v>100</v>
      </c>
      <c r="N63" s="374"/>
      <c r="O63" s="374"/>
      <c r="P63" s="374"/>
      <c r="Q63" s="374"/>
      <c r="R63" s="373">
        <v>13.7</v>
      </c>
      <c r="S63" s="374"/>
      <c r="T63" s="374"/>
      <c r="U63" s="374"/>
      <c r="V63" s="374"/>
      <c r="W63" s="373">
        <v>7</v>
      </c>
      <c r="X63" s="374"/>
      <c r="Y63" s="374"/>
      <c r="Z63" s="374"/>
      <c r="AA63" s="374"/>
      <c r="AB63" s="373">
        <v>6.7</v>
      </c>
      <c r="AC63" s="374"/>
      <c r="AD63" s="374"/>
      <c r="AE63" s="374"/>
      <c r="AF63" s="374"/>
      <c r="AG63" s="373">
        <v>73.4</v>
      </c>
      <c r="AH63" s="374"/>
      <c r="AI63" s="374"/>
      <c r="AJ63" s="374"/>
      <c r="AK63" s="374"/>
      <c r="AL63" s="373">
        <v>37.2</v>
      </c>
      <c r="AM63" s="374"/>
      <c r="AN63" s="374"/>
      <c r="AO63" s="374"/>
      <c r="AP63" s="374"/>
      <c r="AQ63" s="373">
        <v>36.1</v>
      </c>
      <c r="AR63" s="374"/>
      <c r="AS63" s="374"/>
      <c r="AT63" s="374"/>
      <c r="AU63" s="374"/>
      <c r="AV63" s="373">
        <v>12.1</v>
      </c>
      <c r="AW63" s="374"/>
      <c r="AX63" s="374"/>
      <c r="AY63" s="374"/>
      <c r="AZ63" s="374"/>
      <c r="BA63" s="373">
        <v>5.3</v>
      </c>
      <c r="BB63" s="374"/>
      <c r="BC63" s="374"/>
      <c r="BD63" s="374"/>
      <c r="BE63" s="374"/>
      <c r="BF63" s="373">
        <v>6.8</v>
      </c>
      <c r="BG63" s="374"/>
      <c r="BH63" s="374"/>
      <c r="BI63" s="374"/>
      <c r="BJ63" s="374"/>
    </row>
    <row r="64" spans="7:62" s="17" customFormat="1" ht="13.5" customHeight="1">
      <c r="G64" s="384" t="s">
        <v>479</v>
      </c>
      <c r="H64" s="402"/>
      <c r="I64" s="402"/>
      <c r="J64" s="5"/>
      <c r="L64" s="326"/>
      <c r="M64" s="421">
        <v>100</v>
      </c>
      <c r="N64" s="374"/>
      <c r="O64" s="374"/>
      <c r="P64" s="374"/>
      <c r="Q64" s="374"/>
      <c r="R64" s="373">
        <v>13</v>
      </c>
      <c r="S64" s="374"/>
      <c r="T64" s="374"/>
      <c r="U64" s="374"/>
      <c r="V64" s="374"/>
      <c r="W64" s="373">
        <v>6.7</v>
      </c>
      <c r="X64" s="374"/>
      <c r="Y64" s="374"/>
      <c r="Z64" s="374"/>
      <c r="AA64" s="374"/>
      <c r="AB64" s="373">
        <v>6.3</v>
      </c>
      <c r="AC64" s="374"/>
      <c r="AD64" s="374"/>
      <c r="AE64" s="374"/>
      <c r="AF64" s="374"/>
      <c r="AG64" s="373">
        <v>71</v>
      </c>
      <c r="AH64" s="374"/>
      <c r="AI64" s="374"/>
      <c r="AJ64" s="374"/>
      <c r="AK64" s="374"/>
      <c r="AL64" s="373">
        <v>35.8</v>
      </c>
      <c r="AM64" s="374"/>
      <c r="AN64" s="374"/>
      <c r="AO64" s="374"/>
      <c r="AP64" s="374"/>
      <c r="AQ64" s="373">
        <v>35.2</v>
      </c>
      <c r="AR64" s="374"/>
      <c r="AS64" s="374"/>
      <c r="AT64" s="374"/>
      <c r="AU64" s="374"/>
      <c r="AV64" s="373">
        <v>15.4</v>
      </c>
      <c r="AW64" s="374"/>
      <c r="AX64" s="374"/>
      <c r="AY64" s="374"/>
      <c r="AZ64" s="374"/>
      <c r="BA64" s="373">
        <v>6.8</v>
      </c>
      <c r="BB64" s="374"/>
      <c r="BC64" s="374"/>
      <c r="BD64" s="374"/>
      <c r="BE64" s="374"/>
      <c r="BF64" s="373">
        <v>8.5</v>
      </c>
      <c r="BG64" s="374"/>
      <c r="BH64" s="374"/>
      <c r="BI64" s="374"/>
      <c r="BJ64" s="374"/>
    </row>
    <row r="65" spans="7:62" s="17" customFormat="1" ht="13.5" customHeight="1">
      <c r="G65" s="384" t="s">
        <v>480</v>
      </c>
      <c r="H65" s="402"/>
      <c r="I65" s="402"/>
      <c r="J65" s="5"/>
      <c r="L65" s="327"/>
      <c r="M65" s="421">
        <v>100</v>
      </c>
      <c r="N65" s="374"/>
      <c r="O65" s="374"/>
      <c r="P65" s="374"/>
      <c r="Q65" s="374"/>
      <c r="R65" s="373">
        <v>11.6</v>
      </c>
      <c r="S65" s="374"/>
      <c r="T65" s="374"/>
      <c r="U65" s="374"/>
      <c r="V65" s="374"/>
      <c r="W65" s="373">
        <v>5.9</v>
      </c>
      <c r="X65" s="374"/>
      <c r="Y65" s="374"/>
      <c r="Z65" s="374"/>
      <c r="AA65" s="374"/>
      <c r="AB65" s="373">
        <v>5.7</v>
      </c>
      <c r="AC65" s="374"/>
      <c r="AD65" s="374"/>
      <c r="AE65" s="374"/>
      <c r="AF65" s="374"/>
      <c r="AG65" s="373">
        <v>62.5</v>
      </c>
      <c r="AH65" s="374"/>
      <c r="AI65" s="374"/>
      <c r="AJ65" s="374"/>
      <c r="AK65" s="374"/>
      <c r="AL65" s="373">
        <v>31.2</v>
      </c>
      <c r="AM65" s="374"/>
      <c r="AN65" s="374"/>
      <c r="AO65" s="374"/>
      <c r="AP65" s="374"/>
      <c r="AQ65" s="373">
        <v>31.3</v>
      </c>
      <c r="AR65" s="374"/>
      <c r="AS65" s="374"/>
      <c r="AT65" s="374"/>
      <c r="AU65" s="374"/>
      <c r="AV65" s="373">
        <v>18.9</v>
      </c>
      <c r="AW65" s="374"/>
      <c r="AX65" s="374"/>
      <c r="AY65" s="374"/>
      <c r="AZ65" s="374"/>
      <c r="BA65" s="373">
        <v>8.5</v>
      </c>
      <c r="BB65" s="374"/>
      <c r="BC65" s="374"/>
      <c r="BD65" s="374"/>
      <c r="BE65" s="374"/>
      <c r="BF65" s="373">
        <v>10.4</v>
      </c>
      <c r="BG65" s="374"/>
      <c r="BH65" s="374"/>
      <c r="BI65" s="374"/>
      <c r="BJ65" s="374"/>
    </row>
    <row r="66" spans="7:62" s="17" customFormat="1" ht="13.5" customHeight="1">
      <c r="G66" s="389" t="s">
        <v>195</v>
      </c>
      <c r="H66" s="422"/>
      <c r="I66" s="422"/>
      <c r="J66" s="18"/>
      <c r="L66" s="328"/>
      <c r="M66" s="420">
        <v>100</v>
      </c>
      <c r="N66" s="378"/>
      <c r="O66" s="378"/>
      <c r="P66" s="378"/>
      <c r="Q66" s="378"/>
      <c r="R66" s="377">
        <f>(R50/M50)*100</f>
        <v>12.184621657701738</v>
      </c>
      <c r="S66" s="378"/>
      <c r="T66" s="378"/>
      <c r="U66" s="378"/>
      <c r="V66" s="378"/>
      <c r="W66" s="377">
        <f>(W50/M50)*100</f>
        <v>6.251291675743308</v>
      </c>
      <c r="X66" s="378"/>
      <c r="Y66" s="378"/>
      <c r="Z66" s="378"/>
      <c r="AA66" s="378"/>
      <c r="AB66" s="377">
        <f>(AB50/M50)*100</f>
        <v>5.9333299819584315</v>
      </c>
      <c r="AC66" s="378"/>
      <c r="AD66" s="378"/>
      <c r="AE66" s="378"/>
      <c r="AF66" s="378"/>
      <c r="AG66" s="377">
        <f>(AG50/M50)*100</f>
        <v>68.15830777909972</v>
      </c>
      <c r="AH66" s="378"/>
      <c r="AI66" s="378"/>
      <c r="AJ66" s="378"/>
      <c r="AK66" s="378"/>
      <c r="AL66" s="377">
        <f>(AL50/M50)*100</f>
        <v>34.34223681932179</v>
      </c>
      <c r="AM66" s="378"/>
      <c r="AN66" s="378"/>
      <c r="AO66" s="378"/>
      <c r="AP66" s="378"/>
      <c r="AQ66" s="377">
        <f>(AQ50/M50)*100</f>
        <v>33.81607095977792</v>
      </c>
      <c r="AR66" s="378"/>
      <c r="AS66" s="378"/>
      <c r="AT66" s="378"/>
      <c r="AU66" s="378"/>
      <c r="AV66" s="377">
        <f>(AV50/M50)*100</f>
        <v>19.21804045109506</v>
      </c>
      <c r="AW66" s="378"/>
      <c r="AX66" s="378"/>
      <c r="AY66" s="378"/>
      <c r="AZ66" s="378"/>
      <c r="BA66" s="377">
        <f>(BA50/M50)*100</f>
        <v>8.151521244924064</v>
      </c>
      <c r="BB66" s="378"/>
      <c r="BC66" s="378"/>
      <c r="BD66" s="378"/>
      <c r="BE66" s="378"/>
      <c r="BF66" s="377">
        <f>(BF50/M50)*100</f>
        <v>11.066519206170998</v>
      </c>
      <c r="BG66" s="378"/>
      <c r="BH66" s="378"/>
      <c r="BI66" s="378"/>
      <c r="BJ66" s="378"/>
    </row>
    <row r="67" spans="2:62" ht="9.75" customHeight="1">
      <c r="B67" s="8"/>
      <c r="C67" s="32"/>
      <c r="D67" s="32"/>
      <c r="E67" s="32"/>
      <c r="F67" s="32"/>
      <c r="G67" s="33"/>
      <c r="H67" s="32"/>
      <c r="I67" s="32"/>
      <c r="J67" s="32"/>
      <c r="K67" s="32"/>
      <c r="L67" s="153"/>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8"/>
      <c r="BJ67" s="8"/>
    </row>
    <row r="68" spans="2:60" ht="9.75" customHeight="1">
      <c r="B68" s="369" t="s">
        <v>277</v>
      </c>
      <c r="C68" s="369"/>
      <c r="D68" s="369"/>
      <c r="E68" s="318" t="s">
        <v>592</v>
      </c>
      <c r="F68" s="332" t="s">
        <v>587</v>
      </c>
      <c r="G68" s="317"/>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row>
    <row r="69" spans="2:60" ht="12" customHeight="1">
      <c r="B69" s="367" t="s">
        <v>645</v>
      </c>
      <c r="C69" s="367"/>
      <c r="D69" s="367"/>
      <c r="E69" s="25" t="s">
        <v>630</v>
      </c>
      <c r="F69" s="333" t="s">
        <v>603</v>
      </c>
      <c r="I69" s="27"/>
      <c r="J69" s="27"/>
      <c r="K69" s="27"/>
      <c r="L69" s="27"/>
      <c r="M69" s="27"/>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row>
    <row r="70" ht="12" customHeight="1"/>
    <row r="71" ht="12" customHeight="1"/>
    <row r="72" ht="12" customHeight="1"/>
    <row r="73" ht="12" customHeight="1"/>
    <row r="74" ht="12" customHeight="1"/>
    <row r="75" ht="12" customHeight="1"/>
    <row r="76" ht="10.5" customHeight="1"/>
    <row r="77" ht="10.5" customHeight="1"/>
    <row r="78" ht="10.5" customHeight="1"/>
    <row r="79" ht="10.5" customHeight="1"/>
    <row r="80" ht="10.5" customHeight="1"/>
    <row r="81" ht="10.5" customHeight="1"/>
    <row r="82" ht="10.5" customHeight="1"/>
    <row r="83" ht="10.5" customHeight="1"/>
  </sheetData>
  <sheetProtection/>
  <mergeCells count="401">
    <mergeCell ref="BF50:BJ50"/>
    <mergeCell ref="C44:F44"/>
    <mergeCell ref="C46:F46"/>
    <mergeCell ref="G44:I44"/>
    <mergeCell ref="G45:I45"/>
    <mergeCell ref="G46:I46"/>
    <mergeCell ref="G47:I47"/>
    <mergeCell ref="G48:I48"/>
    <mergeCell ref="BF44:BJ44"/>
    <mergeCell ref="BF45:BJ45"/>
    <mergeCell ref="BF46:BJ46"/>
    <mergeCell ref="BF47:BJ47"/>
    <mergeCell ref="AV48:AZ48"/>
    <mergeCell ref="AV49:AZ49"/>
    <mergeCell ref="AV46:AZ46"/>
    <mergeCell ref="AV47:AZ47"/>
    <mergeCell ref="BF48:BJ48"/>
    <mergeCell ref="BF49:BJ49"/>
    <mergeCell ref="AV50:AZ50"/>
    <mergeCell ref="BA44:BE44"/>
    <mergeCell ref="BA45:BE45"/>
    <mergeCell ref="BA46:BE46"/>
    <mergeCell ref="BA47:BE47"/>
    <mergeCell ref="BA48:BE48"/>
    <mergeCell ref="BA49:BE49"/>
    <mergeCell ref="BA50:BE50"/>
    <mergeCell ref="AV44:AZ44"/>
    <mergeCell ref="AV45:AZ45"/>
    <mergeCell ref="AL49:AP49"/>
    <mergeCell ref="AL50:AP50"/>
    <mergeCell ref="AQ44:AU44"/>
    <mergeCell ref="AQ45:AU45"/>
    <mergeCell ref="AQ46:AU46"/>
    <mergeCell ref="AQ47:AU47"/>
    <mergeCell ref="AQ48:AU48"/>
    <mergeCell ref="AQ49:AU49"/>
    <mergeCell ref="AQ50:AU50"/>
    <mergeCell ref="AL44:AP44"/>
    <mergeCell ref="AL45:AP45"/>
    <mergeCell ref="AL46:AP46"/>
    <mergeCell ref="AL47:AP47"/>
    <mergeCell ref="AG47:AK47"/>
    <mergeCell ref="AG48:AK48"/>
    <mergeCell ref="AL48:AP48"/>
    <mergeCell ref="AG49:AK49"/>
    <mergeCell ref="AG50:AK50"/>
    <mergeCell ref="AB47:AF47"/>
    <mergeCell ref="AB48:AF48"/>
    <mergeCell ref="AB49:AF49"/>
    <mergeCell ref="AB50:AF50"/>
    <mergeCell ref="R48:V48"/>
    <mergeCell ref="R49:V49"/>
    <mergeCell ref="R50:V50"/>
    <mergeCell ref="W47:AA47"/>
    <mergeCell ref="W48:AA48"/>
    <mergeCell ref="W49:AA49"/>
    <mergeCell ref="W50:AA50"/>
    <mergeCell ref="W44:AA44"/>
    <mergeCell ref="W45:AA45"/>
    <mergeCell ref="W46:AA46"/>
    <mergeCell ref="R47:V47"/>
    <mergeCell ref="M44:Q44"/>
    <mergeCell ref="M45:Q45"/>
    <mergeCell ref="M46:Q46"/>
    <mergeCell ref="R44:V44"/>
    <mergeCell ref="R45:V45"/>
    <mergeCell ref="R46:V46"/>
    <mergeCell ref="AG41:AU41"/>
    <mergeCell ref="AV41:BJ41"/>
    <mergeCell ref="AG42:AK42"/>
    <mergeCell ref="AL42:AP42"/>
    <mergeCell ref="AQ42:AU42"/>
    <mergeCell ref="AV42:AZ42"/>
    <mergeCell ref="BA42:BE42"/>
    <mergeCell ref="BF42:BJ42"/>
    <mergeCell ref="B41:L42"/>
    <mergeCell ref="M41:Q42"/>
    <mergeCell ref="R41:AF41"/>
    <mergeCell ref="R42:V42"/>
    <mergeCell ref="W42:AA42"/>
    <mergeCell ref="AB42:AF42"/>
    <mergeCell ref="BE27:BJ27"/>
    <mergeCell ref="BE28:BJ28"/>
    <mergeCell ref="BE29:BJ29"/>
    <mergeCell ref="BE30:BJ30"/>
    <mergeCell ref="BE22:BJ22"/>
    <mergeCell ref="BE23:BJ23"/>
    <mergeCell ref="BE24:BJ24"/>
    <mergeCell ref="BE26:BJ26"/>
    <mergeCell ref="AY28:BD28"/>
    <mergeCell ref="AY29:BD29"/>
    <mergeCell ref="AY30:BD30"/>
    <mergeCell ref="BE14:BJ14"/>
    <mergeCell ref="BE15:BJ15"/>
    <mergeCell ref="BE16:BJ16"/>
    <mergeCell ref="BE17:BJ17"/>
    <mergeCell ref="BE18:BJ18"/>
    <mergeCell ref="BE20:BJ20"/>
    <mergeCell ref="BE21:BJ21"/>
    <mergeCell ref="AY23:BD23"/>
    <mergeCell ref="AY24:BD24"/>
    <mergeCell ref="AY26:BD26"/>
    <mergeCell ref="AY27:BD27"/>
    <mergeCell ref="AY18:BD18"/>
    <mergeCell ref="AY20:BD20"/>
    <mergeCell ref="AY21:BD21"/>
    <mergeCell ref="AY22:BD22"/>
    <mergeCell ref="AY14:BD14"/>
    <mergeCell ref="AY15:BD15"/>
    <mergeCell ref="AY16:BD16"/>
    <mergeCell ref="AY17:BD17"/>
    <mergeCell ref="AY11:BD11"/>
    <mergeCell ref="AY12:BD12"/>
    <mergeCell ref="BE9:BJ9"/>
    <mergeCell ref="BE10:BJ10"/>
    <mergeCell ref="BE11:BJ11"/>
    <mergeCell ref="BE12:BJ12"/>
    <mergeCell ref="AY8:BD8"/>
    <mergeCell ref="AY9:BD9"/>
    <mergeCell ref="BE8:BJ8"/>
    <mergeCell ref="AY10:BD10"/>
    <mergeCell ref="AS23:AX23"/>
    <mergeCell ref="AS24:AX24"/>
    <mergeCell ref="AS26:AX26"/>
    <mergeCell ref="AS14:AX14"/>
    <mergeCell ref="AS15:AX15"/>
    <mergeCell ref="AS16:AX16"/>
    <mergeCell ref="AS17:AX17"/>
    <mergeCell ref="AS8:AX8"/>
    <mergeCell ref="AS9:AX9"/>
    <mergeCell ref="AS10:AX10"/>
    <mergeCell ref="AS11:AX11"/>
    <mergeCell ref="AS27:AX27"/>
    <mergeCell ref="AS18:AX18"/>
    <mergeCell ref="AS20:AX20"/>
    <mergeCell ref="AS21:AX21"/>
    <mergeCell ref="AS22:AX22"/>
    <mergeCell ref="AS12:AX12"/>
    <mergeCell ref="AM23:AR23"/>
    <mergeCell ref="AM24:AR24"/>
    <mergeCell ref="AM26:AR26"/>
    <mergeCell ref="AM27:AR27"/>
    <mergeCell ref="AM18:AR18"/>
    <mergeCell ref="AM20:AR20"/>
    <mergeCell ref="AM21:AR21"/>
    <mergeCell ref="AM22:AR22"/>
    <mergeCell ref="AM14:AR14"/>
    <mergeCell ref="AM15:AR15"/>
    <mergeCell ref="AM16:AR16"/>
    <mergeCell ref="AM17:AR17"/>
    <mergeCell ref="AM9:AR9"/>
    <mergeCell ref="AM10:AR10"/>
    <mergeCell ref="AM11:AR11"/>
    <mergeCell ref="AM12:AR12"/>
    <mergeCell ref="AF27:AL27"/>
    <mergeCell ref="AF28:AL28"/>
    <mergeCell ref="AF29:AL29"/>
    <mergeCell ref="AF30:AL30"/>
    <mergeCell ref="AF22:AL22"/>
    <mergeCell ref="AF23:AL23"/>
    <mergeCell ref="AF24:AL24"/>
    <mergeCell ref="AF26:AL26"/>
    <mergeCell ref="AF20:AL20"/>
    <mergeCell ref="AF21:AL21"/>
    <mergeCell ref="AF12:AL12"/>
    <mergeCell ref="AF14:AL14"/>
    <mergeCell ref="AF15:AL15"/>
    <mergeCell ref="AF16:AL16"/>
    <mergeCell ref="Y24:AE24"/>
    <mergeCell ref="Y26:AE26"/>
    <mergeCell ref="Y15:AE15"/>
    <mergeCell ref="Y16:AE16"/>
    <mergeCell ref="Y17:AE17"/>
    <mergeCell ref="Y18:AE18"/>
    <mergeCell ref="Y20:AE20"/>
    <mergeCell ref="Y21:AE21"/>
    <mergeCell ref="Y22:AE22"/>
    <mergeCell ref="Y23:AE23"/>
    <mergeCell ref="AF8:AL8"/>
    <mergeCell ref="AF9:AL9"/>
    <mergeCell ref="AF10:AL10"/>
    <mergeCell ref="AF11:AL11"/>
    <mergeCell ref="AF17:AL17"/>
    <mergeCell ref="AF18:AL18"/>
    <mergeCell ref="Y14:AE14"/>
    <mergeCell ref="AM8:AR8"/>
    <mergeCell ref="B39:BJ39"/>
    <mergeCell ref="Y8:AE8"/>
    <mergeCell ref="Y9:AE9"/>
    <mergeCell ref="F11:G11"/>
    <mergeCell ref="K11:Q11"/>
    <mergeCell ref="Y29:AE29"/>
    <mergeCell ref="Y30:AE30"/>
    <mergeCell ref="Y27:AE27"/>
    <mergeCell ref="Y10:AE10"/>
    <mergeCell ref="Y11:AE11"/>
    <mergeCell ref="Y12:AE12"/>
    <mergeCell ref="H8:I8"/>
    <mergeCell ref="K8:Q8"/>
    <mergeCell ref="F9:G9"/>
    <mergeCell ref="K9:Q9"/>
    <mergeCell ref="R9:X9"/>
    <mergeCell ref="R8:X8"/>
    <mergeCell ref="R11:X11"/>
    <mergeCell ref="B55:BJ55"/>
    <mergeCell ref="C60:F60"/>
    <mergeCell ref="G60:I60"/>
    <mergeCell ref="G61:I61"/>
    <mergeCell ref="M57:Q58"/>
    <mergeCell ref="R57:AF57"/>
    <mergeCell ref="R58:V58"/>
    <mergeCell ref="W58:AA58"/>
    <mergeCell ref="AB58:AF58"/>
    <mergeCell ref="AG57:AU57"/>
    <mergeCell ref="G65:I65"/>
    <mergeCell ref="G66:I66"/>
    <mergeCell ref="G50:I50"/>
    <mergeCell ref="B57:L58"/>
    <mergeCell ref="B53:D53"/>
    <mergeCell ref="B52:D52"/>
    <mergeCell ref="C62:F62"/>
    <mergeCell ref="G62:I62"/>
    <mergeCell ref="G63:I63"/>
    <mergeCell ref="G64:I64"/>
    <mergeCell ref="AV57:BJ57"/>
    <mergeCell ref="AG58:AK58"/>
    <mergeCell ref="AL58:AP58"/>
    <mergeCell ref="AQ58:AU58"/>
    <mergeCell ref="AV58:AZ58"/>
    <mergeCell ref="BA58:BE58"/>
    <mergeCell ref="BF58:BJ58"/>
    <mergeCell ref="M60:Q60"/>
    <mergeCell ref="M61:Q61"/>
    <mergeCell ref="M62:Q62"/>
    <mergeCell ref="M63:Q63"/>
    <mergeCell ref="M64:Q64"/>
    <mergeCell ref="M65:Q65"/>
    <mergeCell ref="G49:I49"/>
    <mergeCell ref="J60:K60"/>
    <mergeCell ref="M66:Q66"/>
    <mergeCell ref="R60:V60"/>
    <mergeCell ref="R61:V61"/>
    <mergeCell ref="R62:V62"/>
    <mergeCell ref="R63:V63"/>
    <mergeCell ref="R64:V64"/>
    <mergeCell ref="R65:V65"/>
    <mergeCell ref="R66:V66"/>
    <mergeCell ref="W66:AA66"/>
    <mergeCell ref="W65:AA65"/>
    <mergeCell ref="W64:AA64"/>
    <mergeCell ref="W63:AA63"/>
    <mergeCell ref="W62:AA62"/>
    <mergeCell ref="W61:AA61"/>
    <mergeCell ref="B56:G56"/>
    <mergeCell ref="AB44:AF44"/>
    <mergeCell ref="AB45:AF45"/>
    <mergeCell ref="AG44:AK44"/>
    <mergeCell ref="AG45:AK45"/>
    <mergeCell ref="AB60:AF60"/>
    <mergeCell ref="J46:K46"/>
    <mergeCell ref="M47:Q47"/>
    <mergeCell ref="M48:Q48"/>
    <mergeCell ref="M49:Q49"/>
    <mergeCell ref="B3:BJ3"/>
    <mergeCell ref="AY5:BJ5"/>
    <mergeCell ref="K5:Q6"/>
    <mergeCell ref="R5:AL5"/>
    <mergeCell ref="Y6:AE6"/>
    <mergeCell ref="AF6:AL6"/>
    <mergeCell ref="AS5:AX6"/>
    <mergeCell ref="B5:J6"/>
    <mergeCell ref="R6:X6"/>
    <mergeCell ref="AM5:AR6"/>
    <mergeCell ref="C10:E10"/>
    <mergeCell ref="F10:G10"/>
    <mergeCell ref="H10:I10"/>
    <mergeCell ref="K10:Q10"/>
    <mergeCell ref="R10:X10"/>
    <mergeCell ref="C8:E8"/>
    <mergeCell ref="F8:G8"/>
    <mergeCell ref="F14:G14"/>
    <mergeCell ref="K14:Q14"/>
    <mergeCell ref="R14:X14"/>
    <mergeCell ref="F12:G12"/>
    <mergeCell ref="K12:Q12"/>
    <mergeCell ref="R12:X12"/>
    <mergeCell ref="F16:G16"/>
    <mergeCell ref="K16:Q16"/>
    <mergeCell ref="R16:X16"/>
    <mergeCell ref="F15:G15"/>
    <mergeCell ref="K15:Q15"/>
    <mergeCell ref="R15:X15"/>
    <mergeCell ref="F18:G18"/>
    <mergeCell ref="K18:Q18"/>
    <mergeCell ref="R18:X18"/>
    <mergeCell ref="F17:G17"/>
    <mergeCell ref="K17:Q17"/>
    <mergeCell ref="R17:X17"/>
    <mergeCell ref="F21:G21"/>
    <mergeCell ref="K21:Q21"/>
    <mergeCell ref="R21:X21"/>
    <mergeCell ref="F20:G20"/>
    <mergeCell ref="K20:Q20"/>
    <mergeCell ref="R20:X20"/>
    <mergeCell ref="F23:G23"/>
    <mergeCell ref="K23:Q23"/>
    <mergeCell ref="R23:X23"/>
    <mergeCell ref="F22:G22"/>
    <mergeCell ref="K22:Q22"/>
    <mergeCell ref="R22:X22"/>
    <mergeCell ref="C26:E26"/>
    <mergeCell ref="F26:G26"/>
    <mergeCell ref="H26:I26"/>
    <mergeCell ref="K26:Q26"/>
    <mergeCell ref="F24:G24"/>
    <mergeCell ref="F27:G27"/>
    <mergeCell ref="K27:Q27"/>
    <mergeCell ref="AM28:AR28"/>
    <mergeCell ref="AM29:AR29"/>
    <mergeCell ref="AM30:AR30"/>
    <mergeCell ref="R26:X26"/>
    <mergeCell ref="K24:Q24"/>
    <mergeCell ref="R24:X24"/>
    <mergeCell ref="R27:X27"/>
    <mergeCell ref="K28:Q28"/>
    <mergeCell ref="R28:X28"/>
    <mergeCell ref="Y28:AE28"/>
    <mergeCell ref="AS28:AX28"/>
    <mergeCell ref="AS29:AX29"/>
    <mergeCell ref="AS30:AX30"/>
    <mergeCell ref="C32:D32"/>
    <mergeCell ref="F32:G32"/>
    <mergeCell ref="R29:X29"/>
    <mergeCell ref="F30:G30"/>
    <mergeCell ref="K29:Q29"/>
    <mergeCell ref="K30:Q30"/>
    <mergeCell ref="R30:X30"/>
    <mergeCell ref="F33:G33"/>
    <mergeCell ref="F28:G28"/>
    <mergeCell ref="F29:G29"/>
    <mergeCell ref="F34:G34"/>
    <mergeCell ref="AB64:AF64"/>
    <mergeCell ref="AB65:AF65"/>
    <mergeCell ref="AB61:AF61"/>
    <mergeCell ref="AB62:AF62"/>
    <mergeCell ref="AB63:AF63"/>
    <mergeCell ref="W60:AA60"/>
    <mergeCell ref="AB66:AF66"/>
    <mergeCell ref="AG66:AK66"/>
    <mergeCell ref="AG65:AK65"/>
    <mergeCell ref="AG64:AK64"/>
    <mergeCell ref="AL64:AP64"/>
    <mergeCell ref="AL65:AP65"/>
    <mergeCell ref="AL66:AP66"/>
    <mergeCell ref="B36:D36"/>
    <mergeCell ref="B38:BH38"/>
    <mergeCell ref="J44:K44"/>
    <mergeCell ref="AG63:AK63"/>
    <mergeCell ref="AG62:AK62"/>
    <mergeCell ref="AG61:AK61"/>
    <mergeCell ref="AG60:AK60"/>
    <mergeCell ref="AL63:AP63"/>
    <mergeCell ref="AL60:AP60"/>
    <mergeCell ref="AL61:AP61"/>
    <mergeCell ref="AQ66:AU66"/>
    <mergeCell ref="AQ65:AU65"/>
    <mergeCell ref="AQ64:AU64"/>
    <mergeCell ref="AQ63:AU63"/>
    <mergeCell ref="AV63:AZ63"/>
    <mergeCell ref="AB46:AF46"/>
    <mergeCell ref="AG46:AK46"/>
    <mergeCell ref="AQ62:AU62"/>
    <mergeCell ref="AQ61:AU61"/>
    <mergeCell ref="AQ60:AU60"/>
    <mergeCell ref="AL62:AP62"/>
    <mergeCell ref="BA60:BE60"/>
    <mergeCell ref="AV64:AZ64"/>
    <mergeCell ref="AV65:AZ65"/>
    <mergeCell ref="AV66:AZ66"/>
    <mergeCell ref="BA66:BE66"/>
    <mergeCell ref="BA65:BE65"/>
    <mergeCell ref="BA64:BE64"/>
    <mergeCell ref="AV60:AZ60"/>
    <mergeCell ref="AV61:AZ61"/>
    <mergeCell ref="AV62:AZ62"/>
    <mergeCell ref="BF61:BJ61"/>
    <mergeCell ref="BF62:BJ62"/>
    <mergeCell ref="BF63:BJ63"/>
    <mergeCell ref="BA63:BE63"/>
    <mergeCell ref="BA62:BE62"/>
    <mergeCell ref="BA61:BE61"/>
    <mergeCell ref="B69:D69"/>
    <mergeCell ref="J62:K62"/>
    <mergeCell ref="B68:D68"/>
    <mergeCell ref="BE6:BJ6"/>
    <mergeCell ref="AY6:BD6"/>
    <mergeCell ref="BF64:BJ64"/>
    <mergeCell ref="M50:Q50"/>
    <mergeCell ref="BF65:BJ65"/>
    <mergeCell ref="BF66:BJ66"/>
    <mergeCell ref="BF60:BJ60"/>
  </mergeCells>
  <printOptions horizontalCentered="1"/>
  <pageMargins left="0.4724409448818898" right="0.4724409448818898" top="0.7086614173228347" bottom="0.5905511811023623" header="0" footer="0"/>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B3" sqref="B3:M3"/>
    </sheetView>
  </sheetViews>
  <sheetFormatPr defaultColWidth="9.00390625" defaultRowHeight="13.5"/>
  <cols>
    <col min="1" max="1" width="1.625" style="0" customWidth="1"/>
    <col min="13" max="13" width="1.625" style="0" customWidth="1"/>
  </cols>
  <sheetData>
    <row r="1" s="169" customFormat="1" ht="10.5" customHeight="1">
      <c r="M1" s="330" t="s">
        <v>487</v>
      </c>
    </row>
    <row r="2" s="169" customFormat="1" ht="10.5" customHeight="1"/>
    <row r="3" spans="2:18" s="168" customFormat="1" ht="18" customHeight="1">
      <c r="B3" s="436" t="s">
        <v>473</v>
      </c>
      <c r="C3" s="436"/>
      <c r="D3" s="436"/>
      <c r="E3" s="436"/>
      <c r="F3" s="436"/>
      <c r="G3" s="436"/>
      <c r="H3" s="436"/>
      <c r="I3" s="436"/>
      <c r="J3" s="436"/>
      <c r="K3" s="436"/>
      <c r="L3" s="436"/>
      <c r="M3" s="436"/>
      <c r="N3" s="56"/>
      <c r="O3" s="56"/>
      <c r="P3" s="56"/>
      <c r="Q3" s="56"/>
      <c r="R3" s="56"/>
    </row>
    <row r="4" spans="12:14" s="16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68" customFormat="1" ht="18" customHeight="1">
      <c r="B41" s="436" t="s">
        <v>472</v>
      </c>
      <c r="C41" s="436"/>
      <c r="D41" s="436"/>
      <c r="E41" s="436"/>
      <c r="F41" s="436"/>
      <c r="G41" s="436"/>
      <c r="H41" s="436"/>
      <c r="I41" s="436"/>
      <c r="J41" s="436"/>
      <c r="K41" s="436"/>
      <c r="L41" s="436"/>
      <c r="M41" s="56"/>
      <c r="N41" s="56"/>
      <c r="O41" s="56"/>
      <c r="P41" s="56"/>
    </row>
    <row r="42" s="16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K85"/>
  <sheetViews>
    <sheetView zoomScalePageLayoutView="0" workbookViewId="0" topLeftCell="A1">
      <selection activeCell="B3" sqref="B3:BJ3"/>
    </sheetView>
  </sheetViews>
  <sheetFormatPr defaultColWidth="9.00390625" defaultRowHeight="13.5"/>
  <cols>
    <col min="1" max="63" width="1.625" style="27" customWidth="1"/>
    <col min="64" max="16384" width="9.00390625" style="27" customWidth="1"/>
  </cols>
  <sheetData>
    <row r="1" spans="1:62" ht="10.5" customHeight="1">
      <c r="A1" s="331" t="s">
        <v>488</v>
      </c>
      <c r="AV1" s="70"/>
      <c r="AW1" s="70"/>
      <c r="AX1" s="70"/>
      <c r="AY1" s="70"/>
      <c r="AZ1" s="70"/>
      <c r="BA1" s="70"/>
      <c r="BB1" s="70"/>
      <c r="BG1" s="70"/>
      <c r="BH1" s="70"/>
      <c r="BI1" s="35"/>
      <c r="BJ1" s="2"/>
    </row>
    <row r="2" spans="17:62" ht="10.5" customHeight="1">
      <c r="Q2" s="36"/>
      <c r="R2" s="36"/>
      <c r="S2" s="37"/>
      <c r="T2" s="37"/>
      <c r="U2" s="37"/>
      <c r="V2" s="37"/>
      <c r="W2" s="37"/>
      <c r="X2" s="37"/>
      <c r="Y2" s="37"/>
      <c r="BJ2" s="3"/>
    </row>
    <row r="3" spans="2:62" s="38" customFormat="1" ht="18" customHeight="1">
      <c r="B3" s="464" t="s">
        <v>402</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row>
    <row r="4" spans="3:62" ht="12.75" customHeight="1">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W4" s="29"/>
      <c r="AX4" s="29"/>
      <c r="AY4" s="29"/>
      <c r="AZ4" s="29"/>
      <c r="BA4" s="29"/>
      <c r="BB4" s="29"/>
      <c r="BC4" s="29"/>
      <c r="BD4" s="29"/>
      <c r="BE4" s="29"/>
      <c r="BF4" s="29"/>
      <c r="BG4" s="29"/>
      <c r="BH4" s="29"/>
      <c r="BI4" s="29"/>
      <c r="BJ4" s="1" t="s">
        <v>588</v>
      </c>
    </row>
    <row r="5" spans="2:62" ht="15.75" customHeight="1">
      <c r="B5" s="448" t="s">
        <v>589</v>
      </c>
      <c r="C5" s="459"/>
      <c r="D5" s="459"/>
      <c r="E5" s="459"/>
      <c r="F5" s="459"/>
      <c r="G5" s="459"/>
      <c r="H5" s="459"/>
      <c r="I5" s="459"/>
      <c r="J5" s="459"/>
      <c r="K5" s="459"/>
      <c r="L5" s="459"/>
      <c r="M5" s="459"/>
      <c r="N5" s="459"/>
      <c r="O5" s="459"/>
      <c r="P5" s="459"/>
      <c r="Q5" s="459"/>
      <c r="R5" s="459"/>
      <c r="S5" s="459"/>
      <c r="T5" s="459"/>
      <c r="U5" s="448" t="s">
        <v>185</v>
      </c>
      <c r="V5" s="459"/>
      <c r="W5" s="459"/>
      <c r="X5" s="459"/>
      <c r="Y5" s="459"/>
      <c r="Z5" s="459"/>
      <c r="AA5" s="459"/>
      <c r="AB5" s="459"/>
      <c r="AC5" s="448" t="s">
        <v>593</v>
      </c>
      <c r="AD5" s="459"/>
      <c r="AE5" s="459"/>
      <c r="AF5" s="459"/>
      <c r="AG5" s="459"/>
      <c r="AH5" s="459"/>
      <c r="AI5" s="459"/>
      <c r="AJ5" s="459"/>
      <c r="AK5" s="465" t="s">
        <v>594</v>
      </c>
      <c r="AL5" s="459"/>
      <c r="AM5" s="459"/>
      <c r="AN5" s="459"/>
      <c r="AO5" s="459"/>
      <c r="AP5" s="459"/>
      <c r="AQ5" s="459"/>
      <c r="AR5" s="459"/>
      <c r="AS5" s="448" t="s">
        <v>595</v>
      </c>
      <c r="AT5" s="459"/>
      <c r="AU5" s="459"/>
      <c r="AV5" s="459"/>
      <c r="AW5" s="459"/>
      <c r="AX5" s="459"/>
      <c r="AY5" s="459"/>
      <c r="AZ5" s="459"/>
      <c r="BA5" s="459"/>
      <c r="BB5" s="448" t="s">
        <v>596</v>
      </c>
      <c r="BC5" s="459"/>
      <c r="BD5" s="459"/>
      <c r="BE5" s="459"/>
      <c r="BF5" s="459"/>
      <c r="BG5" s="459"/>
      <c r="BH5" s="459"/>
      <c r="BI5" s="459"/>
      <c r="BJ5" s="459"/>
    </row>
    <row r="6" spans="2:63" ht="15.75" customHeight="1">
      <c r="B6" s="460"/>
      <c r="C6" s="461"/>
      <c r="D6" s="461"/>
      <c r="E6" s="461"/>
      <c r="F6" s="461"/>
      <c r="G6" s="461"/>
      <c r="H6" s="461"/>
      <c r="I6" s="461"/>
      <c r="J6" s="461"/>
      <c r="K6" s="461"/>
      <c r="L6" s="461"/>
      <c r="M6" s="461"/>
      <c r="N6" s="461"/>
      <c r="O6" s="461"/>
      <c r="P6" s="461"/>
      <c r="Q6" s="461"/>
      <c r="R6" s="461"/>
      <c r="S6" s="461"/>
      <c r="T6" s="461"/>
      <c r="U6" s="460"/>
      <c r="V6" s="461"/>
      <c r="W6" s="461"/>
      <c r="X6" s="461"/>
      <c r="Y6" s="461"/>
      <c r="Z6" s="461"/>
      <c r="AA6" s="461"/>
      <c r="AB6" s="461"/>
      <c r="AC6" s="460"/>
      <c r="AD6" s="461"/>
      <c r="AE6" s="461"/>
      <c r="AF6" s="461"/>
      <c r="AG6" s="461"/>
      <c r="AH6" s="461"/>
      <c r="AI6" s="461"/>
      <c r="AJ6" s="461"/>
      <c r="AK6" s="460"/>
      <c r="AL6" s="461"/>
      <c r="AM6" s="461"/>
      <c r="AN6" s="461"/>
      <c r="AO6" s="461"/>
      <c r="AP6" s="461"/>
      <c r="AQ6" s="461"/>
      <c r="AR6" s="461"/>
      <c r="AS6" s="460"/>
      <c r="AT6" s="461"/>
      <c r="AU6" s="461"/>
      <c r="AV6" s="461"/>
      <c r="AW6" s="461"/>
      <c r="AX6" s="461"/>
      <c r="AY6" s="461"/>
      <c r="AZ6" s="461"/>
      <c r="BA6" s="461"/>
      <c r="BB6" s="460"/>
      <c r="BC6" s="461"/>
      <c r="BD6" s="461"/>
      <c r="BE6" s="461"/>
      <c r="BF6" s="461"/>
      <c r="BG6" s="461"/>
      <c r="BH6" s="461"/>
      <c r="BI6" s="461"/>
      <c r="BJ6" s="461"/>
      <c r="BK6" s="29"/>
    </row>
    <row r="7" spans="2:63" ht="15.75" customHeight="1">
      <c r="B7" s="462"/>
      <c r="C7" s="463"/>
      <c r="D7" s="463"/>
      <c r="E7" s="463"/>
      <c r="F7" s="463"/>
      <c r="G7" s="463"/>
      <c r="H7" s="463"/>
      <c r="I7" s="463"/>
      <c r="J7" s="463"/>
      <c r="K7" s="463"/>
      <c r="L7" s="463"/>
      <c r="M7" s="463"/>
      <c r="N7" s="463"/>
      <c r="O7" s="463"/>
      <c r="P7" s="463"/>
      <c r="Q7" s="463"/>
      <c r="R7" s="463"/>
      <c r="S7" s="463"/>
      <c r="T7" s="463"/>
      <c r="U7" s="462"/>
      <c r="V7" s="463"/>
      <c r="W7" s="463"/>
      <c r="X7" s="463"/>
      <c r="Y7" s="463"/>
      <c r="Z7" s="463"/>
      <c r="AA7" s="463"/>
      <c r="AB7" s="463"/>
      <c r="AC7" s="462"/>
      <c r="AD7" s="463"/>
      <c r="AE7" s="463"/>
      <c r="AF7" s="463"/>
      <c r="AG7" s="463"/>
      <c r="AH7" s="463"/>
      <c r="AI7" s="463"/>
      <c r="AJ7" s="463"/>
      <c r="AK7" s="462"/>
      <c r="AL7" s="463"/>
      <c r="AM7" s="463"/>
      <c r="AN7" s="463"/>
      <c r="AO7" s="463"/>
      <c r="AP7" s="463"/>
      <c r="AQ7" s="463"/>
      <c r="AR7" s="463"/>
      <c r="AS7" s="462"/>
      <c r="AT7" s="463"/>
      <c r="AU7" s="463"/>
      <c r="AV7" s="463"/>
      <c r="AW7" s="463"/>
      <c r="AX7" s="463"/>
      <c r="AY7" s="463"/>
      <c r="AZ7" s="463"/>
      <c r="BA7" s="463"/>
      <c r="BB7" s="462"/>
      <c r="BC7" s="463"/>
      <c r="BD7" s="463"/>
      <c r="BE7" s="463"/>
      <c r="BF7" s="463"/>
      <c r="BG7" s="463"/>
      <c r="BH7" s="463"/>
      <c r="BI7" s="463"/>
      <c r="BJ7" s="463"/>
      <c r="BK7" s="29"/>
    </row>
    <row r="8" spans="16:26" ht="10.5" customHeight="1">
      <c r="P8" s="29"/>
      <c r="R8" s="29"/>
      <c r="S8" s="29"/>
      <c r="T8" s="29"/>
      <c r="U8" s="141"/>
      <c r="V8" s="142"/>
      <c r="W8" s="142"/>
      <c r="X8" s="142"/>
      <c r="Y8" s="142"/>
      <c r="Z8" s="142"/>
    </row>
    <row r="9" spans="3:62" s="30" customFormat="1" ht="10.5" customHeight="1">
      <c r="C9" s="444" t="s">
        <v>181</v>
      </c>
      <c r="D9" s="444"/>
      <c r="E9" s="444"/>
      <c r="F9" s="444"/>
      <c r="G9" s="444"/>
      <c r="H9" s="444"/>
      <c r="I9" s="444"/>
      <c r="J9" s="444"/>
      <c r="K9" s="444"/>
      <c r="L9" s="444"/>
      <c r="M9" s="444"/>
      <c r="N9" s="444"/>
      <c r="O9" s="444"/>
      <c r="P9" s="444"/>
      <c r="Q9" s="444"/>
      <c r="R9" s="444"/>
      <c r="S9" s="444"/>
      <c r="T9" s="42"/>
      <c r="U9" s="420">
        <v>335952</v>
      </c>
      <c r="V9" s="456">
        <v>335952</v>
      </c>
      <c r="W9" s="456">
        <v>335952</v>
      </c>
      <c r="X9" s="456">
        <v>335952</v>
      </c>
      <c r="Y9" s="456">
        <v>335952</v>
      </c>
      <c r="Z9" s="456">
        <v>335952</v>
      </c>
      <c r="AA9" s="456">
        <v>335952</v>
      </c>
      <c r="AB9" s="456">
        <v>335952</v>
      </c>
      <c r="AC9" s="456">
        <v>708075</v>
      </c>
      <c r="AD9" s="456">
        <v>708075</v>
      </c>
      <c r="AE9" s="456">
        <v>708075</v>
      </c>
      <c r="AF9" s="456">
        <v>708075</v>
      </c>
      <c r="AG9" s="456">
        <v>708075</v>
      </c>
      <c r="AH9" s="456">
        <v>708075</v>
      </c>
      <c r="AI9" s="456">
        <v>708075</v>
      </c>
      <c r="AJ9" s="456">
        <v>708075</v>
      </c>
      <c r="AK9" s="456">
        <v>26930</v>
      </c>
      <c r="AL9" s="456">
        <v>26930</v>
      </c>
      <c r="AM9" s="456">
        <v>26930</v>
      </c>
      <c r="AN9" s="456">
        <v>26930</v>
      </c>
      <c r="AO9" s="456">
        <v>26930</v>
      </c>
      <c r="AP9" s="456">
        <v>26930</v>
      </c>
      <c r="AQ9" s="456">
        <v>26930</v>
      </c>
      <c r="AR9" s="456">
        <v>26930</v>
      </c>
      <c r="AS9" s="456">
        <v>65438</v>
      </c>
      <c r="AT9" s="456">
        <v>65438</v>
      </c>
      <c r="AU9" s="456">
        <v>65438</v>
      </c>
      <c r="AV9" s="456">
        <v>65438</v>
      </c>
      <c r="AW9" s="456">
        <v>65438</v>
      </c>
      <c r="AX9" s="456">
        <v>65438</v>
      </c>
      <c r="AY9" s="456">
        <v>65438</v>
      </c>
      <c r="AZ9" s="456">
        <v>65438</v>
      </c>
      <c r="BA9" s="456">
        <v>65438</v>
      </c>
      <c r="BB9" s="456">
        <v>94201</v>
      </c>
      <c r="BC9" s="456">
        <v>94201</v>
      </c>
      <c r="BD9" s="456">
        <v>94201</v>
      </c>
      <c r="BE9" s="456">
        <v>94201</v>
      </c>
      <c r="BF9" s="456">
        <v>94201</v>
      </c>
      <c r="BG9" s="456">
        <v>94201</v>
      </c>
      <c r="BH9" s="456">
        <v>94201</v>
      </c>
      <c r="BI9" s="456">
        <v>94201</v>
      </c>
      <c r="BJ9" s="456">
        <v>94201</v>
      </c>
    </row>
    <row r="10" spans="3:62" ht="9" customHeight="1">
      <c r="C10" s="43"/>
      <c r="D10" s="39"/>
      <c r="E10" s="39"/>
      <c r="F10" s="39"/>
      <c r="G10" s="39"/>
      <c r="H10" s="39"/>
      <c r="I10" s="39"/>
      <c r="J10" s="39"/>
      <c r="K10" s="39"/>
      <c r="L10" s="39"/>
      <c r="M10" s="39"/>
      <c r="N10" s="39"/>
      <c r="O10" s="39"/>
      <c r="P10" s="39"/>
      <c r="Q10" s="43"/>
      <c r="R10" s="39"/>
      <c r="S10" s="39"/>
      <c r="T10" s="39"/>
      <c r="U10" s="319"/>
      <c r="V10" s="53"/>
      <c r="W10" s="53"/>
      <c r="X10" s="47"/>
      <c r="Y10" s="47"/>
      <c r="Z10" s="47"/>
      <c r="AA10" s="53"/>
      <c r="AB10" s="53"/>
      <c r="AC10" s="47"/>
      <c r="AD10" s="47"/>
      <c r="AE10" s="47"/>
      <c r="AF10" s="47"/>
      <c r="AG10" s="53"/>
      <c r="AH10" s="53"/>
      <c r="AI10" s="53"/>
      <c r="AJ10" s="47"/>
      <c r="AK10" s="47"/>
      <c r="AL10" s="47"/>
      <c r="AM10" s="62"/>
      <c r="AN10" s="62"/>
      <c r="AO10" s="62"/>
      <c r="AP10" s="49"/>
      <c r="AQ10" s="49"/>
      <c r="AR10" s="49"/>
      <c r="AS10" s="53"/>
      <c r="AT10" s="53"/>
      <c r="AU10" s="53"/>
      <c r="AV10" s="47"/>
      <c r="AW10" s="47"/>
      <c r="AX10" s="47"/>
      <c r="AY10" s="53"/>
      <c r="AZ10" s="53"/>
      <c r="BA10" s="47"/>
      <c r="BB10" s="47"/>
      <c r="BC10" s="47"/>
      <c r="BD10" s="47"/>
      <c r="BE10" s="52"/>
      <c r="BF10" s="52"/>
      <c r="BG10" s="52"/>
      <c r="BH10" s="45"/>
      <c r="BI10" s="45"/>
      <c r="BJ10" s="45"/>
    </row>
    <row r="11" spans="3:62" s="30" customFormat="1" ht="10.5" customHeight="1">
      <c r="C11" s="444" t="s">
        <v>162</v>
      </c>
      <c r="D11" s="444"/>
      <c r="E11" s="444"/>
      <c r="F11" s="444"/>
      <c r="G11" s="444"/>
      <c r="H11" s="444"/>
      <c r="I11" s="444"/>
      <c r="J11" s="444"/>
      <c r="K11" s="444"/>
      <c r="L11" s="444"/>
      <c r="M11" s="444"/>
      <c r="N11" s="444"/>
      <c r="O11" s="444"/>
      <c r="P11" s="444"/>
      <c r="Q11" s="444"/>
      <c r="R11" s="444"/>
      <c r="S11" s="444"/>
      <c r="T11" s="42"/>
      <c r="U11" s="420">
        <v>189525</v>
      </c>
      <c r="V11" s="456">
        <v>189525</v>
      </c>
      <c r="W11" s="456">
        <v>189525</v>
      </c>
      <c r="X11" s="456">
        <v>189525</v>
      </c>
      <c r="Y11" s="456">
        <v>189525</v>
      </c>
      <c r="Z11" s="456">
        <v>189525</v>
      </c>
      <c r="AA11" s="456">
        <v>189525</v>
      </c>
      <c r="AB11" s="456">
        <v>189525</v>
      </c>
      <c r="AC11" s="456">
        <v>556938</v>
      </c>
      <c r="AD11" s="456">
        <v>556938</v>
      </c>
      <c r="AE11" s="456">
        <v>556938</v>
      </c>
      <c r="AF11" s="456">
        <v>556938</v>
      </c>
      <c r="AG11" s="456">
        <v>556938</v>
      </c>
      <c r="AH11" s="456">
        <v>556938</v>
      </c>
      <c r="AI11" s="456">
        <v>556938</v>
      </c>
      <c r="AJ11" s="456">
        <v>556938</v>
      </c>
      <c r="AK11" s="456">
        <v>26861</v>
      </c>
      <c r="AL11" s="456">
        <v>26861</v>
      </c>
      <c r="AM11" s="456">
        <v>26861</v>
      </c>
      <c r="AN11" s="456">
        <v>26861</v>
      </c>
      <c r="AO11" s="456">
        <v>26861</v>
      </c>
      <c r="AP11" s="456">
        <v>26861</v>
      </c>
      <c r="AQ11" s="456">
        <v>26861</v>
      </c>
      <c r="AR11" s="456">
        <v>26861</v>
      </c>
      <c r="AS11" s="456">
        <v>64873</v>
      </c>
      <c r="AT11" s="456">
        <v>64873</v>
      </c>
      <c r="AU11" s="456">
        <v>64873</v>
      </c>
      <c r="AV11" s="456">
        <v>64873</v>
      </c>
      <c r="AW11" s="456">
        <v>64873</v>
      </c>
      <c r="AX11" s="456">
        <v>64873</v>
      </c>
      <c r="AY11" s="456">
        <v>64873</v>
      </c>
      <c r="AZ11" s="456">
        <v>64873</v>
      </c>
      <c r="BA11" s="456">
        <v>64873</v>
      </c>
      <c r="BB11" s="456">
        <v>63920</v>
      </c>
      <c r="BC11" s="456">
        <v>63920</v>
      </c>
      <c r="BD11" s="456">
        <v>63920</v>
      </c>
      <c r="BE11" s="456">
        <v>63920</v>
      </c>
      <c r="BF11" s="456">
        <v>63920</v>
      </c>
      <c r="BG11" s="456">
        <v>63920</v>
      </c>
      <c r="BH11" s="456">
        <v>63920</v>
      </c>
      <c r="BI11" s="456">
        <v>63920</v>
      </c>
      <c r="BJ11" s="456">
        <v>63920</v>
      </c>
    </row>
    <row r="12" spans="3:62" ht="9" customHeight="1">
      <c r="C12" s="43"/>
      <c r="D12" s="39"/>
      <c r="E12" s="39"/>
      <c r="F12" s="39"/>
      <c r="G12" s="39"/>
      <c r="H12" s="39"/>
      <c r="I12" s="39"/>
      <c r="J12" s="39"/>
      <c r="K12" s="39"/>
      <c r="L12" s="39"/>
      <c r="M12" s="39"/>
      <c r="N12" s="39"/>
      <c r="O12" s="39"/>
      <c r="P12" s="39"/>
      <c r="Q12" s="43"/>
      <c r="R12" s="39"/>
      <c r="S12" s="39"/>
      <c r="T12" s="39"/>
      <c r="U12" s="319"/>
      <c r="V12" s="53"/>
      <c r="W12" s="53"/>
      <c r="X12" s="47"/>
      <c r="Y12" s="47"/>
      <c r="Z12" s="47"/>
      <c r="AA12" s="53"/>
      <c r="AB12" s="53"/>
      <c r="AC12" s="47"/>
      <c r="AD12" s="47"/>
      <c r="AE12" s="47"/>
      <c r="AF12" s="47"/>
      <c r="AG12" s="53"/>
      <c r="AH12" s="53"/>
      <c r="AI12" s="53"/>
      <c r="AJ12" s="47"/>
      <c r="AK12" s="47"/>
      <c r="AL12" s="47"/>
      <c r="AM12" s="62"/>
      <c r="AN12" s="62"/>
      <c r="AO12" s="62"/>
      <c r="AP12" s="49"/>
      <c r="AQ12" s="49"/>
      <c r="AR12" s="49"/>
      <c r="AS12" s="53"/>
      <c r="AT12" s="53"/>
      <c r="AU12" s="53"/>
      <c r="AV12" s="47"/>
      <c r="AW12" s="47"/>
      <c r="AX12" s="47"/>
      <c r="AY12" s="53"/>
      <c r="AZ12" s="53"/>
      <c r="BA12" s="47"/>
      <c r="BB12" s="47"/>
      <c r="BC12" s="47"/>
      <c r="BD12" s="47"/>
      <c r="BE12" s="52"/>
      <c r="BF12" s="52"/>
      <c r="BG12" s="52"/>
      <c r="BH12" s="45"/>
      <c r="BI12" s="45"/>
      <c r="BJ12" s="45"/>
    </row>
    <row r="13" spans="4:62" ht="10.5" customHeight="1">
      <c r="D13" s="356" t="s">
        <v>198</v>
      </c>
      <c r="E13" s="356"/>
      <c r="F13" s="356"/>
      <c r="G13" s="356"/>
      <c r="H13" s="356"/>
      <c r="I13" s="356"/>
      <c r="J13" s="356"/>
      <c r="K13" s="356"/>
      <c r="L13" s="356"/>
      <c r="M13" s="356"/>
      <c r="N13" s="356"/>
      <c r="O13" s="356"/>
      <c r="P13" s="356"/>
      <c r="Q13" s="356"/>
      <c r="R13" s="356"/>
      <c r="S13" s="356"/>
      <c r="T13" s="39"/>
      <c r="U13" s="421">
        <v>176059</v>
      </c>
      <c r="V13" s="454">
        <v>176059</v>
      </c>
      <c r="W13" s="454">
        <v>176059</v>
      </c>
      <c r="X13" s="454">
        <v>176059</v>
      </c>
      <c r="Y13" s="454">
        <v>176059</v>
      </c>
      <c r="Z13" s="454">
        <v>176059</v>
      </c>
      <c r="AA13" s="454">
        <v>176059</v>
      </c>
      <c r="AB13" s="454">
        <v>176059</v>
      </c>
      <c r="AC13" s="454">
        <v>506747</v>
      </c>
      <c r="AD13" s="454">
        <v>506747</v>
      </c>
      <c r="AE13" s="454">
        <v>506747</v>
      </c>
      <c r="AF13" s="454">
        <v>506747</v>
      </c>
      <c r="AG13" s="454">
        <v>506747</v>
      </c>
      <c r="AH13" s="454">
        <v>506747</v>
      </c>
      <c r="AI13" s="454">
        <v>506747</v>
      </c>
      <c r="AJ13" s="454">
        <v>506747</v>
      </c>
      <c r="AK13" s="454">
        <v>25469</v>
      </c>
      <c r="AL13" s="454">
        <v>25469</v>
      </c>
      <c r="AM13" s="454">
        <v>25469</v>
      </c>
      <c r="AN13" s="454">
        <v>25469</v>
      </c>
      <c r="AO13" s="454">
        <v>25469</v>
      </c>
      <c r="AP13" s="454">
        <v>25469</v>
      </c>
      <c r="AQ13" s="454">
        <v>25469</v>
      </c>
      <c r="AR13" s="454">
        <v>25469</v>
      </c>
      <c r="AS13" s="454">
        <v>60466</v>
      </c>
      <c r="AT13" s="454">
        <v>60466</v>
      </c>
      <c r="AU13" s="454">
        <v>60466</v>
      </c>
      <c r="AV13" s="454">
        <v>60466</v>
      </c>
      <c r="AW13" s="454">
        <v>60466</v>
      </c>
      <c r="AX13" s="454">
        <v>60466</v>
      </c>
      <c r="AY13" s="454">
        <v>60466</v>
      </c>
      <c r="AZ13" s="454">
        <v>60466</v>
      </c>
      <c r="BA13" s="454">
        <v>60466</v>
      </c>
      <c r="BB13" s="454">
        <v>54120</v>
      </c>
      <c r="BC13" s="454">
        <v>54120</v>
      </c>
      <c r="BD13" s="454">
        <v>54120</v>
      </c>
      <c r="BE13" s="454">
        <v>54120</v>
      </c>
      <c r="BF13" s="454">
        <v>54120</v>
      </c>
      <c r="BG13" s="454">
        <v>54120</v>
      </c>
      <c r="BH13" s="454">
        <v>54120</v>
      </c>
      <c r="BI13" s="454">
        <v>54120</v>
      </c>
      <c r="BJ13" s="454">
        <v>54120</v>
      </c>
    </row>
    <row r="14" spans="5:62" ht="10.5" customHeight="1">
      <c r="E14" s="356" t="s">
        <v>199</v>
      </c>
      <c r="F14" s="356"/>
      <c r="G14" s="356"/>
      <c r="H14" s="356"/>
      <c r="I14" s="356"/>
      <c r="J14" s="356"/>
      <c r="K14" s="356"/>
      <c r="L14" s="356"/>
      <c r="M14" s="356"/>
      <c r="N14" s="356"/>
      <c r="O14" s="356"/>
      <c r="P14" s="356"/>
      <c r="Q14" s="356"/>
      <c r="R14" s="356"/>
      <c r="S14" s="356"/>
      <c r="T14" s="39"/>
      <c r="U14" s="421">
        <v>61195</v>
      </c>
      <c r="V14" s="454">
        <v>61195</v>
      </c>
      <c r="W14" s="454">
        <v>61195</v>
      </c>
      <c r="X14" s="454">
        <v>61195</v>
      </c>
      <c r="Y14" s="454">
        <v>61195</v>
      </c>
      <c r="Z14" s="454">
        <v>61195</v>
      </c>
      <c r="AA14" s="454">
        <v>61195</v>
      </c>
      <c r="AB14" s="454">
        <v>61195</v>
      </c>
      <c r="AC14" s="454">
        <v>122390</v>
      </c>
      <c r="AD14" s="454">
        <v>122390</v>
      </c>
      <c r="AE14" s="454">
        <v>122390</v>
      </c>
      <c r="AF14" s="454">
        <v>122390</v>
      </c>
      <c r="AG14" s="454">
        <v>122390</v>
      </c>
      <c r="AH14" s="454">
        <v>122390</v>
      </c>
      <c r="AI14" s="454">
        <v>122390</v>
      </c>
      <c r="AJ14" s="454">
        <v>122390</v>
      </c>
      <c r="AK14" s="458">
        <v>0</v>
      </c>
      <c r="AL14" s="458" t="s">
        <v>597</v>
      </c>
      <c r="AM14" s="458" t="s">
        <v>597</v>
      </c>
      <c r="AN14" s="458" t="s">
        <v>597</v>
      </c>
      <c r="AO14" s="458" t="s">
        <v>597</v>
      </c>
      <c r="AP14" s="458" t="s">
        <v>597</v>
      </c>
      <c r="AQ14" s="458" t="s">
        <v>597</v>
      </c>
      <c r="AR14" s="458" t="s">
        <v>597</v>
      </c>
      <c r="AS14" s="458">
        <v>3</v>
      </c>
      <c r="AT14" s="458">
        <v>3</v>
      </c>
      <c r="AU14" s="458">
        <v>3</v>
      </c>
      <c r="AV14" s="458">
        <v>3</v>
      </c>
      <c r="AW14" s="458">
        <v>3</v>
      </c>
      <c r="AX14" s="458">
        <v>3</v>
      </c>
      <c r="AY14" s="458">
        <v>3</v>
      </c>
      <c r="AZ14" s="458">
        <v>3</v>
      </c>
      <c r="BA14" s="458">
        <v>3</v>
      </c>
      <c r="BB14" s="458">
        <v>28403</v>
      </c>
      <c r="BC14" s="458">
        <v>28403</v>
      </c>
      <c r="BD14" s="458">
        <v>28403</v>
      </c>
      <c r="BE14" s="458">
        <v>28403</v>
      </c>
      <c r="BF14" s="458">
        <v>28403</v>
      </c>
      <c r="BG14" s="458">
        <v>28403</v>
      </c>
      <c r="BH14" s="458">
        <v>28403</v>
      </c>
      <c r="BI14" s="458">
        <v>28403</v>
      </c>
      <c r="BJ14" s="458">
        <v>28403</v>
      </c>
    </row>
    <row r="15" spans="5:62" ht="10.5" customHeight="1">
      <c r="E15" s="356" t="s">
        <v>200</v>
      </c>
      <c r="F15" s="356"/>
      <c r="G15" s="356"/>
      <c r="H15" s="356"/>
      <c r="I15" s="356"/>
      <c r="J15" s="356"/>
      <c r="K15" s="356"/>
      <c r="L15" s="356"/>
      <c r="M15" s="356"/>
      <c r="N15" s="356"/>
      <c r="O15" s="356"/>
      <c r="P15" s="356"/>
      <c r="Q15" s="356"/>
      <c r="R15" s="356"/>
      <c r="S15" s="356"/>
      <c r="T15" s="39"/>
      <c r="U15" s="421">
        <v>88960</v>
      </c>
      <c r="V15" s="454">
        <v>88960</v>
      </c>
      <c r="W15" s="454">
        <v>88960</v>
      </c>
      <c r="X15" s="454">
        <v>88960</v>
      </c>
      <c r="Y15" s="454">
        <v>88960</v>
      </c>
      <c r="Z15" s="454">
        <v>88960</v>
      </c>
      <c r="AA15" s="454">
        <v>88960</v>
      </c>
      <c r="AB15" s="454">
        <v>88960</v>
      </c>
      <c r="AC15" s="454">
        <v>322680</v>
      </c>
      <c r="AD15" s="454">
        <v>322680</v>
      </c>
      <c r="AE15" s="454">
        <v>322680</v>
      </c>
      <c r="AF15" s="454">
        <v>322680</v>
      </c>
      <c r="AG15" s="454">
        <v>322680</v>
      </c>
      <c r="AH15" s="454">
        <v>322680</v>
      </c>
      <c r="AI15" s="454">
        <v>322680</v>
      </c>
      <c r="AJ15" s="454">
        <v>322680</v>
      </c>
      <c r="AK15" s="454">
        <v>24333</v>
      </c>
      <c r="AL15" s="454">
        <v>24333</v>
      </c>
      <c r="AM15" s="454">
        <v>24333</v>
      </c>
      <c r="AN15" s="454">
        <v>24333</v>
      </c>
      <c r="AO15" s="454">
        <v>24333</v>
      </c>
      <c r="AP15" s="454">
        <v>24333</v>
      </c>
      <c r="AQ15" s="454">
        <v>24333</v>
      </c>
      <c r="AR15" s="454">
        <v>24333</v>
      </c>
      <c r="AS15" s="454">
        <v>53720</v>
      </c>
      <c r="AT15" s="454">
        <v>53720</v>
      </c>
      <c r="AU15" s="454">
        <v>53720</v>
      </c>
      <c r="AV15" s="454">
        <v>53720</v>
      </c>
      <c r="AW15" s="454">
        <v>53720</v>
      </c>
      <c r="AX15" s="454">
        <v>53720</v>
      </c>
      <c r="AY15" s="454">
        <v>53720</v>
      </c>
      <c r="AZ15" s="454">
        <v>53720</v>
      </c>
      <c r="BA15" s="454">
        <v>53720</v>
      </c>
      <c r="BB15" s="454">
        <v>14543</v>
      </c>
      <c r="BC15" s="454">
        <v>14543</v>
      </c>
      <c r="BD15" s="454">
        <v>14543</v>
      </c>
      <c r="BE15" s="454">
        <v>14543</v>
      </c>
      <c r="BF15" s="454">
        <v>14543</v>
      </c>
      <c r="BG15" s="454">
        <v>14543</v>
      </c>
      <c r="BH15" s="454">
        <v>14543</v>
      </c>
      <c r="BI15" s="454">
        <v>14543</v>
      </c>
      <c r="BJ15" s="454">
        <v>14543</v>
      </c>
    </row>
    <row r="16" spans="5:62" ht="10.5" customHeight="1">
      <c r="E16" s="356" t="s">
        <v>201</v>
      </c>
      <c r="F16" s="356"/>
      <c r="G16" s="356"/>
      <c r="H16" s="356"/>
      <c r="I16" s="356"/>
      <c r="J16" s="356"/>
      <c r="K16" s="356"/>
      <c r="L16" s="356"/>
      <c r="M16" s="356"/>
      <c r="N16" s="356"/>
      <c r="O16" s="356"/>
      <c r="P16" s="356"/>
      <c r="Q16" s="356"/>
      <c r="R16" s="356"/>
      <c r="S16" s="356"/>
      <c r="T16" s="39"/>
      <c r="U16" s="421">
        <v>3662</v>
      </c>
      <c r="V16" s="454">
        <v>3662</v>
      </c>
      <c r="W16" s="454">
        <v>3662</v>
      </c>
      <c r="X16" s="454">
        <v>3662</v>
      </c>
      <c r="Y16" s="454">
        <v>3662</v>
      </c>
      <c r="Z16" s="454">
        <v>3662</v>
      </c>
      <c r="AA16" s="454">
        <v>3662</v>
      </c>
      <c r="AB16" s="454">
        <v>3662</v>
      </c>
      <c r="AC16" s="454">
        <v>8536</v>
      </c>
      <c r="AD16" s="454">
        <v>8536</v>
      </c>
      <c r="AE16" s="454">
        <v>8536</v>
      </c>
      <c r="AF16" s="454">
        <v>8536</v>
      </c>
      <c r="AG16" s="454">
        <v>8536</v>
      </c>
      <c r="AH16" s="454">
        <v>8536</v>
      </c>
      <c r="AI16" s="454">
        <v>8536</v>
      </c>
      <c r="AJ16" s="454">
        <v>8536</v>
      </c>
      <c r="AK16" s="454">
        <v>83</v>
      </c>
      <c r="AL16" s="454">
        <v>83</v>
      </c>
      <c r="AM16" s="454">
        <v>83</v>
      </c>
      <c r="AN16" s="454">
        <v>83</v>
      </c>
      <c r="AO16" s="454">
        <v>83</v>
      </c>
      <c r="AP16" s="454">
        <v>83</v>
      </c>
      <c r="AQ16" s="454">
        <v>83</v>
      </c>
      <c r="AR16" s="454">
        <v>83</v>
      </c>
      <c r="AS16" s="454">
        <v>635</v>
      </c>
      <c r="AT16" s="454">
        <v>635</v>
      </c>
      <c r="AU16" s="454">
        <v>635</v>
      </c>
      <c r="AV16" s="454">
        <v>635</v>
      </c>
      <c r="AW16" s="454">
        <v>635</v>
      </c>
      <c r="AX16" s="454">
        <v>635</v>
      </c>
      <c r="AY16" s="454">
        <v>635</v>
      </c>
      <c r="AZ16" s="454">
        <v>635</v>
      </c>
      <c r="BA16" s="454">
        <v>635</v>
      </c>
      <c r="BB16" s="454">
        <v>1835</v>
      </c>
      <c r="BC16" s="454">
        <v>1835</v>
      </c>
      <c r="BD16" s="454">
        <v>1835</v>
      </c>
      <c r="BE16" s="454">
        <v>1835</v>
      </c>
      <c r="BF16" s="454">
        <v>1835</v>
      </c>
      <c r="BG16" s="454">
        <v>1835</v>
      </c>
      <c r="BH16" s="454">
        <v>1835</v>
      </c>
      <c r="BI16" s="454">
        <v>1835</v>
      </c>
      <c r="BJ16" s="454">
        <v>1835</v>
      </c>
    </row>
    <row r="17" spans="5:62" ht="10.5" customHeight="1">
      <c r="E17" s="356" t="s">
        <v>202</v>
      </c>
      <c r="F17" s="356"/>
      <c r="G17" s="356"/>
      <c r="H17" s="356"/>
      <c r="I17" s="356"/>
      <c r="J17" s="356"/>
      <c r="K17" s="356"/>
      <c r="L17" s="356"/>
      <c r="M17" s="356"/>
      <c r="N17" s="356"/>
      <c r="O17" s="356"/>
      <c r="P17" s="356"/>
      <c r="Q17" s="356"/>
      <c r="R17" s="356"/>
      <c r="S17" s="356"/>
      <c r="T17" s="39"/>
      <c r="U17" s="421">
        <v>22242</v>
      </c>
      <c r="V17" s="454">
        <v>22242</v>
      </c>
      <c r="W17" s="454">
        <v>22242</v>
      </c>
      <c r="X17" s="454">
        <v>22242</v>
      </c>
      <c r="Y17" s="454">
        <v>22242</v>
      </c>
      <c r="Z17" s="454">
        <v>22242</v>
      </c>
      <c r="AA17" s="454">
        <v>22242</v>
      </c>
      <c r="AB17" s="454">
        <v>22242</v>
      </c>
      <c r="AC17" s="454">
        <v>53141</v>
      </c>
      <c r="AD17" s="454">
        <v>53141</v>
      </c>
      <c r="AE17" s="454">
        <v>53141</v>
      </c>
      <c r="AF17" s="454">
        <v>53141</v>
      </c>
      <c r="AG17" s="454">
        <v>53141</v>
      </c>
      <c r="AH17" s="454">
        <v>53141</v>
      </c>
      <c r="AI17" s="454">
        <v>53141</v>
      </c>
      <c r="AJ17" s="454">
        <v>53141</v>
      </c>
      <c r="AK17" s="454">
        <v>1053</v>
      </c>
      <c r="AL17" s="454">
        <v>1053</v>
      </c>
      <c r="AM17" s="454">
        <v>1053</v>
      </c>
      <c r="AN17" s="454">
        <v>1053</v>
      </c>
      <c r="AO17" s="454">
        <v>1053</v>
      </c>
      <c r="AP17" s="454">
        <v>1053</v>
      </c>
      <c r="AQ17" s="454">
        <v>1053</v>
      </c>
      <c r="AR17" s="454">
        <v>1053</v>
      </c>
      <c r="AS17" s="454">
        <v>6108</v>
      </c>
      <c r="AT17" s="454">
        <v>6108</v>
      </c>
      <c r="AU17" s="454">
        <v>6108</v>
      </c>
      <c r="AV17" s="454">
        <v>6108</v>
      </c>
      <c r="AW17" s="454">
        <v>6108</v>
      </c>
      <c r="AX17" s="454">
        <v>6108</v>
      </c>
      <c r="AY17" s="454">
        <v>6108</v>
      </c>
      <c r="AZ17" s="454">
        <v>6108</v>
      </c>
      <c r="BA17" s="454">
        <v>6108</v>
      </c>
      <c r="BB17" s="454">
        <v>9339</v>
      </c>
      <c r="BC17" s="454">
        <v>9339</v>
      </c>
      <c r="BD17" s="454">
        <v>9339</v>
      </c>
      <c r="BE17" s="454">
        <v>9339</v>
      </c>
      <c r="BF17" s="454">
        <v>9339</v>
      </c>
      <c r="BG17" s="454">
        <v>9339</v>
      </c>
      <c r="BH17" s="454">
        <v>9339</v>
      </c>
      <c r="BI17" s="454">
        <v>9339</v>
      </c>
      <c r="BJ17" s="454">
        <v>9339</v>
      </c>
    </row>
    <row r="18" spans="4:62" ht="9" customHeight="1">
      <c r="D18" s="43"/>
      <c r="E18" s="39"/>
      <c r="F18" s="39"/>
      <c r="G18" s="39"/>
      <c r="H18" s="39"/>
      <c r="I18" s="39"/>
      <c r="J18" s="39"/>
      <c r="K18" s="39"/>
      <c r="L18" s="39"/>
      <c r="M18" s="39"/>
      <c r="N18" s="39"/>
      <c r="O18" s="39"/>
      <c r="P18" s="39"/>
      <c r="Q18" s="43"/>
      <c r="R18" s="39"/>
      <c r="S18" s="39"/>
      <c r="T18" s="39"/>
      <c r="U18" s="319"/>
      <c r="V18" s="53"/>
      <c r="W18" s="53"/>
      <c r="X18" s="47"/>
      <c r="Y18" s="47"/>
      <c r="Z18" s="47"/>
      <c r="AA18" s="53"/>
      <c r="AB18" s="53"/>
      <c r="AC18" s="47"/>
      <c r="AD18" s="47"/>
      <c r="AE18" s="47"/>
      <c r="AF18" s="47"/>
      <c r="AG18" s="53"/>
      <c r="AH18" s="53"/>
      <c r="AI18" s="53"/>
      <c r="AJ18" s="47"/>
      <c r="AK18" s="47"/>
      <c r="AL18" s="47"/>
      <c r="AM18" s="49"/>
      <c r="AN18" s="49"/>
      <c r="AO18" s="49"/>
      <c r="AP18" s="49"/>
      <c r="AQ18" s="49"/>
      <c r="AR18" s="49"/>
      <c r="AS18" s="53"/>
      <c r="AT18" s="53"/>
      <c r="AU18" s="53"/>
      <c r="AV18" s="47"/>
      <c r="AW18" s="47"/>
      <c r="AX18" s="47"/>
      <c r="AY18" s="53"/>
      <c r="AZ18" s="53"/>
      <c r="BA18" s="47"/>
      <c r="BB18" s="47"/>
      <c r="BC18" s="47"/>
      <c r="BD18" s="47"/>
      <c r="BE18" s="52"/>
      <c r="BF18" s="52"/>
      <c r="BG18" s="52"/>
      <c r="BH18" s="45"/>
      <c r="BI18" s="45"/>
      <c r="BJ18" s="45"/>
    </row>
    <row r="19" spans="4:62" ht="10.5" customHeight="1">
      <c r="D19" s="356" t="s">
        <v>203</v>
      </c>
      <c r="E19" s="356"/>
      <c r="F19" s="356"/>
      <c r="G19" s="356"/>
      <c r="H19" s="356"/>
      <c r="I19" s="356"/>
      <c r="J19" s="356"/>
      <c r="K19" s="356"/>
      <c r="L19" s="356"/>
      <c r="M19" s="356"/>
      <c r="N19" s="356"/>
      <c r="O19" s="356"/>
      <c r="P19" s="356"/>
      <c r="Q19" s="356"/>
      <c r="R19" s="356"/>
      <c r="S19" s="356"/>
      <c r="T19" s="39"/>
      <c r="U19" s="421">
        <v>13466</v>
      </c>
      <c r="V19" s="454">
        <v>13466</v>
      </c>
      <c r="W19" s="454">
        <v>13466</v>
      </c>
      <c r="X19" s="454">
        <v>13466</v>
      </c>
      <c r="Y19" s="454">
        <v>13466</v>
      </c>
      <c r="Z19" s="454">
        <v>13466</v>
      </c>
      <c r="AA19" s="454">
        <v>13466</v>
      </c>
      <c r="AB19" s="454">
        <v>13466</v>
      </c>
      <c r="AC19" s="454">
        <v>50191</v>
      </c>
      <c r="AD19" s="454">
        <v>50191</v>
      </c>
      <c r="AE19" s="454">
        <v>50191</v>
      </c>
      <c r="AF19" s="454">
        <v>50191</v>
      </c>
      <c r="AG19" s="454">
        <v>50191</v>
      </c>
      <c r="AH19" s="454">
        <v>50191</v>
      </c>
      <c r="AI19" s="454">
        <v>50191</v>
      </c>
      <c r="AJ19" s="454">
        <v>50191</v>
      </c>
      <c r="AK19" s="454">
        <v>1392</v>
      </c>
      <c r="AL19" s="454">
        <v>1392</v>
      </c>
      <c r="AM19" s="454">
        <v>1392</v>
      </c>
      <c r="AN19" s="454">
        <v>1392</v>
      </c>
      <c r="AO19" s="454">
        <v>1392</v>
      </c>
      <c r="AP19" s="454">
        <v>1392</v>
      </c>
      <c r="AQ19" s="454">
        <v>1392</v>
      </c>
      <c r="AR19" s="454">
        <v>1392</v>
      </c>
      <c r="AS19" s="454">
        <v>4407</v>
      </c>
      <c r="AT19" s="454">
        <v>4407</v>
      </c>
      <c r="AU19" s="454">
        <v>4407</v>
      </c>
      <c r="AV19" s="454">
        <v>4407</v>
      </c>
      <c r="AW19" s="454">
        <v>4407</v>
      </c>
      <c r="AX19" s="454">
        <v>4407</v>
      </c>
      <c r="AY19" s="454">
        <v>4407</v>
      </c>
      <c r="AZ19" s="454">
        <v>4407</v>
      </c>
      <c r="BA19" s="454">
        <v>4407</v>
      </c>
      <c r="BB19" s="458">
        <v>9800</v>
      </c>
      <c r="BC19" s="458">
        <v>9800</v>
      </c>
      <c r="BD19" s="458">
        <v>9800</v>
      </c>
      <c r="BE19" s="458">
        <v>9800</v>
      </c>
      <c r="BF19" s="458">
        <v>9800</v>
      </c>
      <c r="BG19" s="458">
        <v>9800</v>
      </c>
      <c r="BH19" s="458">
        <v>9800</v>
      </c>
      <c r="BI19" s="458">
        <v>9800</v>
      </c>
      <c r="BJ19" s="458">
        <v>9800</v>
      </c>
    </row>
    <row r="20" spans="4:62" ht="10.5" customHeight="1">
      <c r="D20" s="43"/>
      <c r="E20" s="356" t="s">
        <v>204</v>
      </c>
      <c r="F20" s="356"/>
      <c r="G20" s="356"/>
      <c r="H20" s="356"/>
      <c r="I20" s="356"/>
      <c r="J20" s="356"/>
      <c r="K20" s="356"/>
      <c r="L20" s="356"/>
      <c r="M20" s="356"/>
      <c r="N20" s="356"/>
      <c r="O20" s="356"/>
      <c r="P20" s="356"/>
      <c r="Q20" s="356"/>
      <c r="R20" s="356"/>
      <c r="S20" s="356"/>
      <c r="T20" s="39"/>
      <c r="U20" s="421">
        <v>311</v>
      </c>
      <c r="V20" s="454">
        <v>311</v>
      </c>
      <c r="W20" s="454">
        <v>311</v>
      </c>
      <c r="X20" s="454">
        <v>311</v>
      </c>
      <c r="Y20" s="454">
        <v>311</v>
      </c>
      <c r="Z20" s="454">
        <v>311</v>
      </c>
      <c r="AA20" s="454">
        <v>311</v>
      </c>
      <c r="AB20" s="454">
        <v>311</v>
      </c>
      <c r="AC20" s="454">
        <v>1244</v>
      </c>
      <c r="AD20" s="454">
        <v>1244</v>
      </c>
      <c r="AE20" s="454">
        <v>1244</v>
      </c>
      <c r="AF20" s="454">
        <v>1244</v>
      </c>
      <c r="AG20" s="454">
        <v>1244</v>
      </c>
      <c r="AH20" s="454">
        <v>1244</v>
      </c>
      <c r="AI20" s="454">
        <v>1244</v>
      </c>
      <c r="AJ20" s="454">
        <v>1244</v>
      </c>
      <c r="AK20" s="458">
        <v>0</v>
      </c>
      <c r="AL20" s="458" t="s">
        <v>597</v>
      </c>
      <c r="AM20" s="458" t="s">
        <v>597</v>
      </c>
      <c r="AN20" s="458" t="s">
        <v>597</v>
      </c>
      <c r="AO20" s="458" t="s">
        <v>597</v>
      </c>
      <c r="AP20" s="458" t="s">
        <v>597</v>
      </c>
      <c r="AQ20" s="458" t="s">
        <v>597</v>
      </c>
      <c r="AR20" s="458" t="s">
        <v>597</v>
      </c>
      <c r="AS20" s="458">
        <v>0</v>
      </c>
      <c r="AT20" s="458" t="s">
        <v>597</v>
      </c>
      <c r="AU20" s="458" t="s">
        <v>597</v>
      </c>
      <c r="AV20" s="458" t="s">
        <v>597</v>
      </c>
      <c r="AW20" s="458" t="s">
        <v>597</v>
      </c>
      <c r="AX20" s="458" t="s">
        <v>597</v>
      </c>
      <c r="AY20" s="458" t="s">
        <v>597</v>
      </c>
      <c r="AZ20" s="458" t="s">
        <v>597</v>
      </c>
      <c r="BA20" s="458" t="s">
        <v>597</v>
      </c>
      <c r="BB20" s="458">
        <v>261</v>
      </c>
      <c r="BC20" s="458">
        <v>261</v>
      </c>
      <c r="BD20" s="458">
        <v>261</v>
      </c>
      <c r="BE20" s="458">
        <v>261</v>
      </c>
      <c r="BF20" s="458">
        <v>261</v>
      </c>
      <c r="BG20" s="458">
        <v>261</v>
      </c>
      <c r="BH20" s="458">
        <v>261</v>
      </c>
      <c r="BI20" s="458">
        <v>261</v>
      </c>
      <c r="BJ20" s="458">
        <v>261</v>
      </c>
    </row>
    <row r="21" spans="4:62" ht="10.5" customHeight="1">
      <c r="D21" s="43"/>
      <c r="E21" s="356" t="s">
        <v>205</v>
      </c>
      <c r="F21" s="356"/>
      <c r="G21" s="356"/>
      <c r="H21" s="356"/>
      <c r="I21" s="356"/>
      <c r="J21" s="356"/>
      <c r="K21" s="356"/>
      <c r="L21" s="356"/>
      <c r="M21" s="356"/>
      <c r="N21" s="356"/>
      <c r="O21" s="356"/>
      <c r="P21" s="356"/>
      <c r="Q21" s="356"/>
      <c r="R21" s="356"/>
      <c r="S21" s="356"/>
      <c r="T21" s="39"/>
      <c r="U21" s="421">
        <v>1650</v>
      </c>
      <c r="V21" s="454">
        <v>1650</v>
      </c>
      <c r="W21" s="454">
        <v>1650</v>
      </c>
      <c r="X21" s="454">
        <v>1650</v>
      </c>
      <c r="Y21" s="454">
        <v>1650</v>
      </c>
      <c r="Z21" s="454">
        <v>1650</v>
      </c>
      <c r="AA21" s="454">
        <v>1650</v>
      </c>
      <c r="AB21" s="454">
        <v>1650</v>
      </c>
      <c r="AC21" s="454">
        <v>4950</v>
      </c>
      <c r="AD21" s="454">
        <v>4950</v>
      </c>
      <c r="AE21" s="454">
        <v>4950</v>
      </c>
      <c r="AF21" s="454">
        <v>4950</v>
      </c>
      <c r="AG21" s="454">
        <v>4950</v>
      </c>
      <c r="AH21" s="454">
        <v>4950</v>
      </c>
      <c r="AI21" s="454">
        <v>4950</v>
      </c>
      <c r="AJ21" s="454">
        <v>4950</v>
      </c>
      <c r="AK21" s="458">
        <v>0</v>
      </c>
      <c r="AL21" s="458" t="s">
        <v>597</v>
      </c>
      <c r="AM21" s="458" t="s">
        <v>597</v>
      </c>
      <c r="AN21" s="458" t="s">
        <v>597</v>
      </c>
      <c r="AO21" s="458" t="s">
        <v>597</v>
      </c>
      <c r="AP21" s="458" t="s">
        <v>597</v>
      </c>
      <c r="AQ21" s="458" t="s">
        <v>597</v>
      </c>
      <c r="AR21" s="458" t="s">
        <v>597</v>
      </c>
      <c r="AS21" s="458">
        <v>0</v>
      </c>
      <c r="AT21" s="458" t="s">
        <v>597</v>
      </c>
      <c r="AU21" s="458" t="s">
        <v>597</v>
      </c>
      <c r="AV21" s="458" t="s">
        <v>597</v>
      </c>
      <c r="AW21" s="458" t="s">
        <v>597</v>
      </c>
      <c r="AX21" s="458" t="s">
        <v>597</v>
      </c>
      <c r="AY21" s="458" t="s">
        <v>597</v>
      </c>
      <c r="AZ21" s="458" t="s">
        <v>597</v>
      </c>
      <c r="BA21" s="458" t="s">
        <v>597</v>
      </c>
      <c r="BB21" s="458">
        <v>1552</v>
      </c>
      <c r="BC21" s="458">
        <v>1552</v>
      </c>
      <c r="BD21" s="458">
        <v>1552</v>
      </c>
      <c r="BE21" s="458">
        <v>1552</v>
      </c>
      <c r="BF21" s="458">
        <v>1552</v>
      </c>
      <c r="BG21" s="458">
        <v>1552</v>
      </c>
      <c r="BH21" s="458">
        <v>1552</v>
      </c>
      <c r="BI21" s="458">
        <v>1552</v>
      </c>
      <c r="BJ21" s="458">
        <v>1552</v>
      </c>
    </row>
    <row r="22" spans="4:62" ht="10.5" customHeight="1">
      <c r="D22" s="43"/>
      <c r="E22" s="356" t="s">
        <v>206</v>
      </c>
      <c r="F22" s="356"/>
      <c r="G22" s="356"/>
      <c r="H22" s="356"/>
      <c r="I22" s="356"/>
      <c r="J22" s="356"/>
      <c r="K22" s="356"/>
      <c r="L22" s="356"/>
      <c r="M22" s="356"/>
      <c r="N22" s="356"/>
      <c r="O22" s="356"/>
      <c r="P22" s="356"/>
      <c r="Q22" s="356"/>
      <c r="R22" s="356"/>
      <c r="S22" s="356"/>
      <c r="T22" s="39"/>
      <c r="U22" s="421">
        <v>806</v>
      </c>
      <c r="V22" s="454">
        <v>806</v>
      </c>
      <c r="W22" s="454">
        <v>806</v>
      </c>
      <c r="X22" s="454">
        <v>806</v>
      </c>
      <c r="Y22" s="454">
        <v>806</v>
      </c>
      <c r="Z22" s="454">
        <v>806</v>
      </c>
      <c r="AA22" s="454">
        <v>806</v>
      </c>
      <c r="AB22" s="454">
        <v>806</v>
      </c>
      <c r="AC22" s="454">
        <v>4827</v>
      </c>
      <c r="AD22" s="454">
        <v>4827</v>
      </c>
      <c r="AE22" s="454">
        <v>4827</v>
      </c>
      <c r="AF22" s="454">
        <v>4827</v>
      </c>
      <c r="AG22" s="454">
        <v>4827</v>
      </c>
      <c r="AH22" s="454">
        <v>4827</v>
      </c>
      <c r="AI22" s="454">
        <v>4827</v>
      </c>
      <c r="AJ22" s="454">
        <v>4827</v>
      </c>
      <c r="AK22" s="454">
        <v>241</v>
      </c>
      <c r="AL22" s="454">
        <v>241</v>
      </c>
      <c r="AM22" s="454">
        <v>241</v>
      </c>
      <c r="AN22" s="454">
        <v>241</v>
      </c>
      <c r="AO22" s="454">
        <v>241</v>
      </c>
      <c r="AP22" s="454">
        <v>241</v>
      </c>
      <c r="AQ22" s="454">
        <v>241</v>
      </c>
      <c r="AR22" s="454">
        <v>241</v>
      </c>
      <c r="AS22" s="458">
        <v>610</v>
      </c>
      <c r="AT22" s="458">
        <v>610</v>
      </c>
      <c r="AU22" s="458">
        <v>610</v>
      </c>
      <c r="AV22" s="458">
        <v>610</v>
      </c>
      <c r="AW22" s="458">
        <v>610</v>
      </c>
      <c r="AX22" s="458">
        <v>610</v>
      </c>
      <c r="AY22" s="458">
        <v>610</v>
      </c>
      <c r="AZ22" s="458">
        <v>610</v>
      </c>
      <c r="BA22" s="458">
        <v>610</v>
      </c>
      <c r="BB22" s="458">
        <v>744</v>
      </c>
      <c r="BC22" s="458">
        <v>744</v>
      </c>
      <c r="BD22" s="458">
        <v>744</v>
      </c>
      <c r="BE22" s="458">
        <v>744</v>
      </c>
      <c r="BF22" s="458">
        <v>744</v>
      </c>
      <c r="BG22" s="458">
        <v>744</v>
      </c>
      <c r="BH22" s="458">
        <v>744</v>
      </c>
      <c r="BI22" s="458">
        <v>744</v>
      </c>
      <c r="BJ22" s="458">
        <v>744</v>
      </c>
    </row>
    <row r="23" spans="4:62" ht="10.5" customHeight="1">
      <c r="D23" s="43"/>
      <c r="E23" s="356" t="s">
        <v>207</v>
      </c>
      <c r="F23" s="356"/>
      <c r="G23" s="356"/>
      <c r="H23" s="356"/>
      <c r="I23" s="356"/>
      <c r="J23" s="356"/>
      <c r="K23" s="356"/>
      <c r="L23" s="356"/>
      <c r="M23" s="356"/>
      <c r="N23" s="356"/>
      <c r="O23" s="356"/>
      <c r="P23" s="356"/>
      <c r="Q23" s="356"/>
      <c r="R23" s="356"/>
      <c r="S23" s="356"/>
      <c r="T23" s="39"/>
      <c r="U23" s="421">
        <v>3722</v>
      </c>
      <c r="V23" s="454">
        <v>3722</v>
      </c>
      <c r="W23" s="454">
        <v>3722</v>
      </c>
      <c r="X23" s="454">
        <v>3722</v>
      </c>
      <c r="Y23" s="454">
        <v>3722</v>
      </c>
      <c r="Z23" s="454">
        <v>3722</v>
      </c>
      <c r="AA23" s="454">
        <v>3722</v>
      </c>
      <c r="AB23" s="454">
        <v>3722</v>
      </c>
      <c r="AC23" s="454">
        <v>17438</v>
      </c>
      <c r="AD23" s="454">
        <v>17438</v>
      </c>
      <c r="AE23" s="454">
        <v>17438</v>
      </c>
      <c r="AF23" s="454">
        <v>17438</v>
      </c>
      <c r="AG23" s="454">
        <v>17438</v>
      </c>
      <c r="AH23" s="454">
        <v>17438</v>
      </c>
      <c r="AI23" s="454">
        <v>17438</v>
      </c>
      <c r="AJ23" s="454">
        <v>17438</v>
      </c>
      <c r="AK23" s="454">
        <v>523</v>
      </c>
      <c r="AL23" s="454">
        <v>523</v>
      </c>
      <c r="AM23" s="454">
        <v>523</v>
      </c>
      <c r="AN23" s="454">
        <v>523</v>
      </c>
      <c r="AO23" s="454">
        <v>523</v>
      </c>
      <c r="AP23" s="454">
        <v>523</v>
      </c>
      <c r="AQ23" s="454">
        <v>523</v>
      </c>
      <c r="AR23" s="454">
        <v>523</v>
      </c>
      <c r="AS23" s="458">
        <v>1857</v>
      </c>
      <c r="AT23" s="458">
        <v>1857</v>
      </c>
      <c r="AU23" s="458">
        <v>1857</v>
      </c>
      <c r="AV23" s="458">
        <v>1857</v>
      </c>
      <c r="AW23" s="458">
        <v>1857</v>
      </c>
      <c r="AX23" s="458">
        <v>1857</v>
      </c>
      <c r="AY23" s="458">
        <v>1857</v>
      </c>
      <c r="AZ23" s="458">
        <v>1857</v>
      </c>
      <c r="BA23" s="458">
        <v>1857</v>
      </c>
      <c r="BB23" s="454">
        <v>3498</v>
      </c>
      <c r="BC23" s="454">
        <v>3498</v>
      </c>
      <c r="BD23" s="454">
        <v>3498</v>
      </c>
      <c r="BE23" s="454">
        <v>3498</v>
      </c>
      <c r="BF23" s="454">
        <v>3498</v>
      </c>
      <c r="BG23" s="454">
        <v>3498</v>
      </c>
      <c r="BH23" s="454">
        <v>3498</v>
      </c>
      <c r="BI23" s="454">
        <v>3498</v>
      </c>
      <c r="BJ23" s="454">
        <v>3498</v>
      </c>
    </row>
    <row r="24" spans="4:62" ht="10.5" customHeight="1">
      <c r="D24" s="43"/>
      <c r="E24" s="457" t="s">
        <v>208</v>
      </c>
      <c r="F24" s="356"/>
      <c r="G24" s="356"/>
      <c r="H24" s="356"/>
      <c r="I24" s="356"/>
      <c r="J24" s="356"/>
      <c r="K24" s="356"/>
      <c r="L24" s="356"/>
      <c r="M24" s="356"/>
      <c r="N24" s="356"/>
      <c r="O24" s="356"/>
      <c r="P24" s="356"/>
      <c r="Q24" s="356"/>
      <c r="R24" s="356"/>
      <c r="S24" s="356"/>
      <c r="T24" s="28"/>
      <c r="U24" s="421">
        <v>530</v>
      </c>
      <c r="V24" s="454">
        <v>530</v>
      </c>
      <c r="W24" s="454">
        <v>530</v>
      </c>
      <c r="X24" s="454">
        <v>530</v>
      </c>
      <c r="Y24" s="454">
        <v>530</v>
      </c>
      <c r="Z24" s="454">
        <v>530</v>
      </c>
      <c r="AA24" s="454">
        <v>530</v>
      </c>
      <c r="AB24" s="454">
        <v>530</v>
      </c>
      <c r="AC24" s="454">
        <v>1674</v>
      </c>
      <c r="AD24" s="454">
        <v>1674</v>
      </c>
      <c r="AE24" s="454">
        <v>1674</v>
      </c>
      <c r="AF24" s="454">
        <v>1674</v>
      </c>
      <c r="AG24" s="454">
        <v>1674</v>
      </c>
      <c r="AH24" s="454">
        <v>1674</v>
      </c>
      <c r="AI24" s="454">
        <v>1674</v>
      </c>
      <c r="AJ24" s="454">
        <v>1674</v>
      </c>
      <c r="AK24" s="454">
        <v>18</v>
      </c>
      <c r="AL24" s="454">
        <v>18</v>
      </c>
      <c r="AM24" s="454">
        <v>18</v>
      </c>
      <c r="AN24" s="454">
        <v>18</v>
      </c>
      <c r="AO24" s="454">
        <v>18</v>
      </c>
      <c r="AP24" s="454">
        <v>18</v>
      </c>
      <c r="AQ24" s="454">
        <v>18</v>
      </c>
      <c r="AR24" s="454">
        <v>18</v>
      </c>
      <c r="AS24" s="454">
        <v>93</v>
      </c>
      <c r="AT24" s="454">
        <v>93</v>
      </c>
      <c r="AU24" s="454">
        <v>93</v>
      </c>
      <c r="AV24" s="454">
        <v>93</v>
      </c>
      <c r="AW24" s="454">
        <v>93</v>
      </c>
      <c r="AX24" s="454">
        <v>93</v>
      </c>
      <c r="AY24" s="454">
        <v>93</v>
      </c>
      <c r="AZ24" s="454">
        <v>93</v>
      </c>
      <c r="BA24" s="454">
        <v>93</v>
      </c>
      <c r="BB24" s="454">
        <v>378</v>
      </c>
      <c r="BC24" s="454">
        <v>378</v>
      </c>
      <c r="BD24" s="454">
        <v>378</v>
      </c>
      <c r="BE24" s="454">
        <v>378</v>
      </c>
      <c r="BF24" s="454">
        <v>378</v>
      </c>
      <c r="BG24" s="454">
        <v>378</v>
      </c>
      <c r="BH24" s="454">
        <v>378</v>
      </c>
      <c r="BI24" s="454">
        <v>378</v>
      </c>
      <c r="BJ24" s="454">
        <v>378</v>
      </c>
    </row>
    <row r="25" spans="4:62" ht="10.5" customHeight="1">
      <c r="D25" s="43"/>
      <c r="E25" s="457" t="s">
        <v>209</v>
      </c>
      <c r="F25" s="356"/>
      <c r="G25" s="356"/>
      <c r="H25" s="356"/>
      <c r="I25" s="356"/>
      <c r="J25" s="356"/>
      <c r="K25" s="356"/>
      <c r="L25" s="356"/>
      <c r="M25" s="356"/>
      <c r="N25" s="356"/>
      <c r="O25" s="356"/>
      <c r="P25" s="356"/>
      <c r="Q25" s="356"/>
      <c r="R25" s="356"/>
      <c r="S25" s="356"/>
      <c r="T25" s="28"/>
      <c r="U25" s="143"/>
      <c r="V25" s="47"/>
      <c r="W25" s="47"/>
      <c r="X25" s="47"/>
      <c r="Y25" s="47"/>
      <c r="Z25" s="47"/>
      <c r="AA25" s="47"/>
      <c r="AB25" s="47"/>
      <c r="AC25" s="47"/>
      <c r="AD25" s="47"/>
      <c r="AE25" s="47"/>
      <c r="AF25" s="47"/>
      <c r="AG25" s="47"/>
      <c r="AH25" s="47"/>
      <c r="AI25" s="47"/>
      <c r="AJ25" s="47"/>
      <c r="AK25" s="47"/>
      <c r="AL25" s="47"/>
      <c r="AM25" s="49"/>
      <c r="AN25" s="49"/>
      <c r="AO25" s="49"/>
      <c r="AP25" s="49"/>
      <c r="AQ25" s="49"/>
      <c r="AR25" s="49"/>
      <c r="AS25" s="47"/>
      <c r="AT25" s="47"/>
      <c r="AU25" s="47"/>
      <c r="AV25" s="47"/>
      <c r="AW25" s="47"/>
      <c r="AX25" s="47"/>
      <c r="AY25" s="47"/>
      <c r="AZ25" s="47"/>
      <c r="BA25" s="47"/>
      <c r="BB25" s="47"/>
      <c r="BC25" s="47"/>
      <c r="BD25" s="47"/>
      <c r="BE25" s="47"/>
      <c r="BF25" s="47"/>
      <c r="BG25" s="47"/>
      <c r="BH25" s="47"/>
      <c r="BI25" s="47"/>
      <c r="BJ25" s="47"/>
    </row>
    <row r="26" spans="4:62" ht="10.5" customHeight="1">
      <c r="D26" s="43"/>
      <c r="E26" s="457" t="s">
        <v>210</v>
      </c>
      <c r="F26" s="356"/>
      <c r="G26" s="356"/>
      <c r="H26" s="356"/>
      <c r="I26" s="356"/>
      <c r="J26" s="356"/>
      <c r="K26" s="356"/>
      <c r="L26" s="356"/>
      <c r="M26" s="356"/>
      <c r="N26" s="356"/>
      <c r="O26" s="356"/>
      <c r="P26" s="356"/>
      <c r="Q26" s="356"/>
      <c r="R26" s="356"/>
      <c r="S26" s="356"/>
      <c r="T26" s="28"/>
      <c r="U26" s="421">
        <v>1087</v>
      </c>
      <c r="V26" s="454">
        <v>1087</v>
      </c>
      <c r="W26" s="454">
        <v>1087</v>
      </c>
      <c r="X26" s="454">
        <v>1087</v>
      </c>
      <c r="Y26" s="454">
        <v>1087</v>
      </c>
      <c r="Z26" s="454">
        <v>1087</v>
      </c>
      <c r="AA26" s="454">
        <v>1087</v>
      </c>
      <c r="AB26" s="454">
        <v>1087</v>
      </c>
      <c r="AC26" s="454">
        <v>4918</v>
      </c>
      <c r="AD26" s="454">
        <v>4918</v>
      </c>
      <c r="AE26" s="454">
        <v>4918</v>
      </c>
      <c r="AF26" s="454">
        <v>4918</v>
      </c>
      <c r="AG26" s="454">
        <v>4918</v>
      </c>
      <c r="AH26" s="454">
        <v>4918</v>
      </c>
      <c r="AI26" s="454">
        <v>4918</v>
      </c>
      <c r="AJ26" s="454">
        <v>4918</v>
      </c>
      <c r="AK26" s="454">
        <v>291</v>
      </c>
      <c r="AL26" s="454">
        <v>291</v>
      </c>
      <c r="AM26" s="454">
        <v>291</v>
      </c>
      <c r="AN26" s="454">
        <v>291</v>
      </c>
      <c r="AO26" s="454">
        <v>291</v>
      </c>
      <c r="AP26" s="454">
        <v>291</v>
      </c>
      <c r="AQ26" s="454">
        <v>291</v>
      </c>
      <c r="AR26" s="454">
        <v>291</v>
      </c>
      <c r="AS26" s="454">
        <v>780</v>
      </c>
      <c r="AT26" s="454">
        <v>780</v>
      </c>
      <c r="AU26" s="454">
        <v>780</v>
      </c>
      <c r="AV26" s="454">
        <v>780</v>
      </c>
      <c r="AW26" s="454">
        <v>780</v>
      </c>
      <c r="AX26" s="454">
        <v>780</v>
      </c>
      <c r="AY26" s="454">
        <v>780</v>
      </c>
      <c r="AZ26" s="454">
        <v>780</v>
      </c>
      <c r="BA26" s="454">
        <v>780</v>
      </c>
      <c r="BB26" s="454">
        <v>701</v>
      </c>
      <c r="BC26" s="454">
        <v>701</v>
      </c>
      <c r="BD26" s="454">
        <v>701</v>
      </c>
      <c r="BE26" s="454">
        <v>701</v>
      </c>
      <c r="BF26" s="454">
        <v>701</v>
      </c>
      <c r="BG26" s="454">
        <v>701</v>
      </c>
      <c r="BH26" s="454">
        <v>701</v>
      </c>
      <c r="BI26" s="454">
        <v>701</v>
      </c>
      <c r="BJ26" s="454">
        <v>701</v>
      </c>
    </row>
    <row r="27" spans="4:62" ht="10.5" customHeight="1">
      <c r="D27" s="43"/>
      <c r="E27" s="457" t="s">
        <v>590</v>
      </c>
      <c r="F27" s="356"/>
      <c r="G27" s="356"/>
      <c r="H27" s="356"/>
      <c r="I27" s="356"/>
      <c r="J27" s="356"/>
      <c r="K27" s="356"/>
      <c r="L27" s="356"/>
      <c r="M27" s="356"/>
      <c r="N27" s="356"/>
      <c r="O27" s="356"/>
      <c r="P27" s="356"/>
      <c r="Q27" s="356"/>
      <c r="R27" s="356"/>
      <c r="S27" s="356"/>
      <c r="T27" s="28"/>
      <c r="U27" s="143"/>
      <c r="V27" s="47"/>
      <c r="W27" s="47"/>
      <c r="X27" s="47"/>
      <c r="Y27" s="47"/>
      <c r="Z27" s="47"/>
      <c r="AA27" s="47"/>
      <c r="AB27" s="47"/>
      <c r="AC27" s="47"/>
      <c r="AD27" s="47"/>
      <c r="AE27" s="47"/>
      <c r="AF27" s="47"/>
      <c r="AG27" s="47"/>
      <c r="AH27" s="47"/>
      <c r="AI27" s="47"/>
      <c r="AJ27" s="47"/>
      <c r="AK27" s="47"/>
      <c r="AL27" s="47"/>
      <c r="AM27" s="49"/>
      <c r="AN27" s="49"/>
      <c r="AO27" s="49"/>
      <c r="AP27" s="49"/>
      <c r="AQ27" s="49"/>
      <c r="AR27" s="49"/>
      <c r="AS27" s="47"/>
      <c r="AT27" s="47"/>
      <c r="AU27" s="47"/>
      <c r="AV27" s="47"/>
      <c r="AW27" s="47"/>
      <c r="AX27" s="47"/>
      <c r="AY27" s="47"/>
      <c r="AZ27" s="47"/>
      <c r="BA27" s="47"/>
      <c r="BB27" s="47"/>
      <c r="BC27" s="47"/>
      <c r="BD27" s="47"/>
      <c r="BE27" s="47"/>
      <c r="BF27" s="47"/>
      <c r="BG27" s="47"/>
      <c r="BH27" s="47"/>
      <c r="BI27" s="47"/>
      <c r="BJ27" s="47"/>
    </row>
    <row r="28" spans="4:62" ht="10.5" customHeight="1">
      <c r="D28" s="43"/>
      <c r="E28" s="457" t="s">
        <v>211</v>
      </c>
      <c r="F28" s="356"/>
      <c r="G28" s="356"/>
      <c r="H28" s="356"/>
      <c r="I28" s="356"/>
      <c r="J28" s="356"/>
      <c r="K28" s="356"/>
      <c r="L28" s="356"/>
      <c r="M28" s="356"/>
      <c r="N28" s="356"/>
      <c r="O28" s="356"/>
      <c r="P28" s="356"/>
      <c r="Q28" s="356"/>
      <c r="R28" s="356"/>
      <c r="S28" s="356"/>
      <c r="T28" s="28"/>
      <c r="U28" s="421">
        <v>177</v>
      </c>
      <c r="V28" s="454">
        <v>177</v>
      </c>
      <c r="W28" s="454">
        <v>177</v>
      </c>
      <c r="X28" s="454">
        <v>177</v>
      </c>
      <c r="Y28" s="454">
        <v>177</v>
      </c>
      <c r="Z28" s="454">
        <v>177</v>
      </c>
      <c r="AA28" s="454">
        <v>177</v>
      </c>
      <c r="AB28" s="454">
        <v>177</v>
      </c>
      <c r="AC28" s="454">
        <v>807</v>
      </c>
      <c r="AD28" s="454">
        <v>807</v>
      </c>
      <c r="AE28" s="454">
        <v>807</v>
      </c>
      <c r="AF28" s="454">
        <v>807</v>
      </c>
      <c r="AG28" s="454">
        <v>807</v>
      </c>
      <c r="AH28" s="454">
        <v>807</v>
      </c>
      <c r="AI28" s="454">
        <v>807</v>
      </c>
      <c r="AJ28" s="454">
        <v>807</v>
      </c>
      <c r="AK28" s="454">
        <v>10</v>
      </c>
      <c r="AL28" s="454">
        <v>10</v>
      </c>
      <c r="AM28" s="454">
        <v>10</v>
      </c>
      <c r="AN28" s="454">
        <v>10</v>
      </c>
      <c r="AO28" s="454">
        <v>10</v>
      </c>
      <c r="AP28" s="454">
        <v>10</v>
      </c>
      <c r="AQ28" s="454">
        <v>10</v>
      </c>
      <c r="AR28" s="454">
        <v>10</v>
      </c>
      <c r="AS28" s="454">
        <v>18</v>
      </c>
      <c r="AT28" s="454">
        <v>18</v>
      </c>
      <c r="AU28" s="454">
        <v>18</v>
      </c>
      <c r="AV28" s="454">
        <v>18</v>
      </c>
      <c r="AW28" s="454">
        <v>18</v>
      </c>
      <c r="AX28" s="454">
        <v>18</v>
      </c>
      <c r="AY28" s="454">
        <v>18</v>
      </c>
      <c r="AZ28" s="454">
        <v>18</v>
      </c>
      <c r="BA28" s="454">
        <v>18</v>
      </c>
      <c r="BB28" s="454">
        <v>132</v>
      </c>
      <c r="BC28" s="454">
        <v>132</v>
      </c>
      <c r="BD28" s="454">
        <v>132</v>
      </c>
      <c r="BE28" s="454">
        <v>132</v>
      </c>
      <c r="BF28" s="454">
        <v>132</v>
      </c>
      <c r="BG28" s="454">
        <v>132</v>
      </c>
      <c r="BH28" s="454">
        <v>132</v>
      </c>
      <c r="BI28" s="454">
        <v>132</v>
      </c>
      <c r="BJ28" s="454">
        <v>132</v>
      </c>
    </row>
    <row r="29" spans="4:62" ht="10.5" customHeight="1">
      <c r="D29" s="43"/>
      <c r="E29" s="457" t="s">
        <v>212</v>
      </c>
      <c r="F29" s="356"/>
      <c r="G29" s="356"/>
      <c r="H29" s="356"/>
      <c r="I29" s="356"/>
      <c r="J29" s="356"/>
      <c r="K29" s="356"/>
      <c r="L29" s="356"/>
      <c r="M29" s="356"/>
      <c r="N29" s="356"/>
      <c r="O29" s="356"/>
      <c r="P29" s="356"/>
      <c r="Q29" s="356"/>
      <c r="R29" s="356"/>
      <c r="S29" s="356"/>
      <c r="T29" s="28"/>
      <c r="U29" s="143"/>
      <c r="V29" s="47"/>
      <c r="W29" s="47"/>
      <c r="X29" s="47"/>
      <c r="Y29" s="47"/>
      <c r="Z29" s="47"/>
      <c r="AA29" s="47"/>
      <c r="AB29" s="47"/>
      <c r="AC29" s="47"/>
      <c r="AD29" s="47"/>
      <c r="AE29" s="47"/>
      <c r="AF29" s="47"/>
      <c r="AG29" s="47"/>
      <c r="AH29" s="47"/>
      <c r="AI29" s="47"/>
      <c r="AJ29" s="47"/>
      <c r="AK29" s="47"/>
      <c r="AL29" s="47"/>
      <c r="AM29" s="49"/>
      <c r="AN29" s="49"/>
      <c r="AO29" s="49"/>
      <c r="AP29" s="49"/>
      <c r="AQ29" s="49"/>
      <c r="AR29" s="49"/>
      <c r="AS29" s="47"/>
      <c r="AT29" s="47"/>
      <c r="AU29" s="47"/>
      <c r="AV29" s="47"/>
      <c r="AW29" s="47"/>
      <c r="AX29" s="47"/>
      <c r="AY29" s="47"/>
      <c r="AZ29" s="47"/>
      <c r="BA29" s="47"/>
      <c r="BB29" s="47"/>
      <c r="BC29" s="47"/>
      <c r="BD29" s="47"/>
      <c r="BE29" s="47"/>
      <c r="BF29" s="47"/>
      <c r="BG29" s="47"/>
      <c r="BH29" s="47"/>
      <c r="BI29" s="47"/>
      <c r="BJ29" s="47"/>
    </row>
    <row r="30" spans="4:62" ht="10.5" customHeight="1">
      <c r="D30" s="43"/>
      <c r="E30" s="356" t="s">
        <v>213</v>
      </c>
      <c r="F30" s="356"/>
      <c r="G30" s="356"/>
      <c r="H30" s="356"/>
      <c r="I30" s="356"/>
      <c r="J30" s="356"/>
      <c r="K30" s="356"/>
      <c r="L30" s="356"/>
      <c r="M30" s="356"/>
      <c r="N30" s="356"/>
      <c r="O30" s="356"/>
      <c r="P30" s="356"/>
      <c r="Q30" s="356"/>
      <c r="R30" s="356"/>
      <c r="S30" s="356"/>
      <c r="T30" s="39"/>
      <c r="U30" s="421">
        <v>286</v>
      </c>
      <c r="V30" s="454">
        <v>286</v>
      </c>
      <c r="W30" s="454">
        <v>286</v>
      </c>
      <c r="X30" s="454">
        <v>286</v>
      </c>
      <c r="Y30" s="454">
        <v>286</v>
      </c>
      <c r="Z30" s="454">
        <v>286</v>
      </c>
      <c r="AA30" s="454">
        <v>286</v>
      </c>
      <c r="AB30" s="454">
        <v>286</v>
      </c>
      <c r="AC30" s="454">
        <v>1806</v>
      </c>
      <c r="AD30" s="454">
        <v>1806</v>
      </c>
      <c r="AE30" s="454">
        <v>1806</v>
      </c>
      <c r="AF30" s="454">
        <v>1806</v>
      </c>
      <c r="AG30" s="454">
        <v>1806</v>
      </c>
      <c r="AH30" s="454">
        <v>1806</v>
      </c>
      <c r="AI30" s="454">
        <v>1806</v>
      </c>
      <c r="AJ30" s="454">
        <v>1806</v>
      </c>
      <c r="AK30" s="454">
        <v>123</v>
      </c>
      <c r="AL30" s="454">
        <v>123</v>
      </c>
      <c r="AM30" s="454">
        <v>123</v>
      </c>
      <c r="AN30" s="454">
        <v>123</v>
      </c>
      <c r="AO30" s="454">
        <v>123</v>
      </c>
      <c r="AP30" s="454">
        <v>123</v>
      </c>
      <c r="AQ30" s="454">
        <v>123</v>
      </c>
      <c r="AR30" s="454">
        <v>123</v>
      </c>
      <c r="AS30" s="454">
        <v>227</v>
      </c>
      <c r="AT30" s="454">
        <v>227</v>
      </c>
      <c r="AU30" s="454">
        <v>227</v>
      </c>
      <c r="AV30" s="454">
        <v>227</v>
      </c>
      <c r="AW30" s="454">
        <v>227</v>
      </c>
      <c r="AX30" s="454">
        <v>227</v>
      </c>
      <c r="AY30" s="454">
        <v>227</v>
      </c>
      <c r="AZ30" s="454">
        <v>227</v>
      </c>
      <c r="BA30" s="454">
        <v>227</v>
      </c>
      <c r="BB30" s="454">
        <v>228</v>
      </c>
      <c r="BC30" s="454">
        <v>228</v>
      </c>
      <c r="BD30" s="454">
        <v>228</v>
      </c>
      <c r="BE30" s="454">
        <v>228</v>
      </c>
      <c r="BF30" s="454">
        <v>228</v>
      </c>
      <c r="BG30" s="454">
        <v>228</v>
      </c>
      <c r="BH30" s="454">
        <v>228</v>
      </c>
      <c r="BI30" s="454">
        <v>228</v>
      </c>
      <c r="BJ30" s="454">
        <v>228</v>
      </c>
    </row>
    <row r="31" spans="4:62" ht="10.5" customHeight="1">
      <c r="D31" s="43"/>
      <c r="E31" s="356" t="s">
        <v>214</v>
      </c>
      <c r="F31" s="356"/>
      <c r="G31" s="356"/>
      <c r="H31" s="356"/>
      <c r="I31" s="356"/>
      <c r="J31" s="356"/>
      <c r="K31" s="356"/>
      <c r="L31" s="356"/>
      <c r="M31" s="356"/>
      <c r="N31" s="356"/>
      <c r="O31" s="356"/>
      <c r="P31" s="356"/>
      <c r="Q31" s="356"/>
      <c r="R31" s="356"/>
      <c r="S31" s="356"/>
      <c r="T31" s="39"/>
      <c r="U31" s="421">
        <v>2789</v>
      </c>
      <c r="V31" s="454">
        <v>2789</v>
      </c>
      <c r="W31" s="454">
        <v>2789</v>
      </c>
      <c r="X31" s="454">
        <v>2789</v>
      </c>
      <c r="Y31" s="454">
        <v>2789</v>
      </c>
      <c r="Z31" s="454">
        <v>2789</v>
      </c>
      <c r="AA31" s="454">
        <v>2789</v>
      </c>
      <c r="AB31" s="454">
        <v>2789</v>
      </c>
      <c r="AC31" s="454">
        <v>5798</v>
      </c>
      <c r="AD31" s="454">
        <v>5798</v>
      </c>
      <c r="AE31" s="454">
        <v>5798</v>
      </c>
      <c r="AF31" s="454">
        <v>5798</v>
      </c>
      <c r="AG31" s="454">
        <v>5798</v>
      </c>
      <c r="AH31" s="454">
        <v>5798</v>
      </c>
      <c r="AI31" s="454">
        <v>5798</v>
      </c>
      <c r="AJ31" s="454">
        <v>5798</v>
      </c>
      <c r="AK31" s="454">
        <v>3</v>
      </c>
      <c r="AL31" s="454">
        <v>3</v>
      </c>
      <c r="AM31" s="454">
        <v>3</v>
      </c>
      <c r="AN31" s="454">
        <v>3</v>
      </c>
      <c r="AO31" s="454">
        <v>3</v>
      </c>
      <c r="AP31" s="454">
        <v>3</v>
      </c>
      <c r="AQ31" s="454">
        <v>3</v>
      </c>
      <c r="AR31" s="454">
        <v>3</v>
      </c>
      <c r="AS31" s="458">
        <v>29</v>
      </c>
      <c r="AT31" s="458">
        <v>29</v>
      </c>
      <c r="AU31" s="458">
        <v>29</v>
      </c>
      <c r="AV31" s="458">
        <v>29</v>
      </c>
      <c r="AW31" s="458">
        <v>29</v>
      </c>
      <c r="AX31" s="458">
        <v>29</v>
      </c>
      <c r="AY31" s="458">
        <v>29</v>
      </c>
      <c r="AZ31" s="458">
        <v>29</v>
      </c>
      <c r="BA31" s="458">
        <v>29</v>
      </c>
      <c r="BB31" s="454">
        <v>666</v>
      </c>
      <c r="BC31" s="454">
        <v>666</v>
      </c>
      <c r="BD31" s="454">
        <v>666</v>
      </c>
      <c r="BE31" s="454">
        <v>666</v>
      </c>
      <c r="BF31" s="454">
        <v>666</v>
      </c>
      <c r="BG31" s="454">
        <v>666</v>
      </c>
      <c r="BH31" s="454">
        <v>666</v>
      </c>
      <c r="BI31" s="454">
        <v>666</v>
      </c>
      <c r="BJ31" s="454">
        <v>666</v>
      </c>
    </row>
    <row r="32" spans="4:62" ht="10.5" customHeight="1">
      <c r="D32" s="43"/>
      <c r="E32" s="356" t="s">
        <v>215</v>
      </c>
      <c r="F32" s="356"/>
      <c r="G32" s="356"/>
      <c r="H32" s="356"/>
      <c r="I32" s="356"/>
      <c r="J32" s="356"/>
      <c r="K32" s="356"/>
      <c r="L32" s="356"/>
      <c r="M32" s="356"/>
      <c r="N32" s="356"/>
      <c r="O32" s="356"/>
      <c r="P32" s="356"/>
      <c r="Q32" s="356"/>
      <c r="R32" s="356"/>
      <c r="S32" s="356"/>
      <c r="T32" s="39"/>
      <c r="U32" s="421">
        <v>2108</v>
      </c>
      <c r="V32" s="454">
        <v>2108</v>
      </c>
      <c r="W32" s="454">
        <v>2108</v>
      </c>
      <c r="X32" s="454">
        <v>2108</v>
      </c>
      <c r="Y32" s="454">
        <v>2108</v>
      </c>
      <c r="Z32" s="454">
        <v>2108</v>
      </c>
      <c r="AA32" s="454">
        <v>2108</v>
      </c>
      <c r="AB32" s="454">
        <v>2108</v>
      </c>
      <c r="AC32" s="454">
        <v>6729</v>
      </c>
      <c r="AD32" s="454">
        <v>6729</v>
      </c>
      <c r="AE32" s="454">
        <v>6729</v>
      </c>
      <c r="AF32" s="454">
        <v>6729</v>
      </c>
      <c r="AG32" s="454">
        <v>6729</v>
      </c>
      <c r="AH32" s="454">
        <v>6729</v>
      </c>
      <c r="AI32" s="454">
        <v>6729</v>
      </c>
      <c r="AJ32" s="454">
        <v>6729</v>
      </c>
      <c r="AK32" s="454">
        <v>183</v>
      </c>
      <c r="AL32" s="454">
        <v>183</v>
      </c>
      <c r="AM32" s="454">
        <v>183</v>
      </c>
      <c r="AN32" s="454">
        <v>183</v>
      </c>
      <c r="AO32" s="454">
        <v>183</v>
      </c>
      <c r="AP32" s="454">
        <v>183</v>
      </c>
      <c r="AQ32" s="454">
        <v>183</v>
      </c>
      <c r="AR32" s="454">
        <v>183</v>
      </c>
      <c r="AS32" s="454">
        <v>793</v>
      </c>
      <c r="AT32" s="454">
        <v>793</v>
      </c>
      <c r="AU32" s="454">
        <v>793</v>
      </c>
      <c r="AV32" s="454">
        <v>793</v>
      </c>
      <c r="AW32" s="454">
        <v>793</v>
      </c>
      <c r="AX32" s="454">
        <v>793</v>
      </c>
      <c r="AY32" s="454">
        <v>793</v>
      </c>
      <c r="AZ32" s="454">
        <v>793</v>
      </c>
      <c r="BA32" s="454">
        <v>793</v>
      </c>
      <c r="BB32" s="454">
        <v>1640</v>
      </c>
      <c r="BC32" s="454">
        <v>1640</v>
      </c>
      <c r="BD32" s="454">
        <v>1640</v>
      </c>
      <c r="BE32" s="454">
        <v>1640</v>
      </c>
      <c r="BF32" s="454">
        <v>1640</v>
      </c>
      <c r="BG32" s="454">
        <v>1640</v>
      </c>
      <c r="BH32" s="454">
        <v>1640</v>
      </c>
      <c r="BI32" s="454">
        <v>1640</v>
      </c>
      <c r="BJ32" s="454">
        <v>1640</v>
      </c>
    </row>
    <row r="33" spans="3:62" ht="9" customHeight="1">
      <c r="C33" s="43"/>
      <c r="D33" s="39"/>
      <c r="E33" s="39"/>
      <c r="F33" s="39"/>
      <c r="G33" s="39"/>
      <c r="H33" s="39"/>
      <c r="I33" s="39"/>
      <c r="J33" s="39"/>
      <c r="K33" s="39"/>
      <c r="L33" s="39"/>
      <c r="M33" s="39"/>
      <c r="N33" s="39"/>
      <c r="O33" s="39"/>
      <c r="P33" s="39"/>
      <c r="Q33" s="43"/>
      <c r="R33" s="39"/>
      <c r="S33" s="39"/>
      <c r="T33" s="39"/>
      <c r="U33" s="319"/>
      <c r="V33" s="53"/>
      <c r="W33" s="53"/>
      <c r="X33" s="47"/>
      <c r="Y33" s="47"/>
      <c r="Z33" s="47"/>
      <c r="AA33" s="53"/>
      <c r="AB33" s="53"/>
      <c r="AC33" s="47"/>
      <c r="AD33" s="47"/>
      <c r="AE33" s="47"/>
      <c r="AF33" s="47"/>
      <c r="AG33" s="53"/>
      <c r="AH33" s="53"/>
      <c r="AI33" s="53"/>
      <c r="AJ33" s="47"/>
      <c r="AK33" s="47"/>
      <c r="AL33" s="47"/>
      <c r="AM33" s="62"/>
      <c r="AN33" s="62"/>
      <c r="AO33" s="62"/>
      <c r="AP33" s="49"/>
      <c r="AQ33" s="49"/>
      <c r="AR33" s="49"/>
      <c r="AS33" s="53"/>
      <c r="AT33" s="53"/>
      <c r="AU33" s="53"/>
      <c r="AV33" s="47"/>
      <c r="AW33" s="47"/>
      <c r="AX33" s="47"/>
      <c r="AY33" s="53"/>
      <c r="AZ33" s="53"/>
      <c r="BA33" s="47"/>
      <c r="BB33" s="47"/>
      <c r="BC33" s="47"/>
      <c r="BD33" s="47"/>
      <c r="BE33" s="52"/>
      <c r="BF33" s="52"/>
      <c r="BG33" s="52"/>
      <c r="BH33" s="45"/>
      <c r="BI33" s="45"/>
      <c r="BJ33" s="45"/>
    </row>
    <row r="34" spans="3:62" s="30" customFormat="1" ht="10.5" customHeight="1">
      <c r="C34" s="444" t="s">
        <v>163</v>
      </c>
      <c r="D34" s="444"/>
      <c r="E34" s="444"/>
      <c r="F34" s="444"/>
      <c r="G34" s="444"/>
      <c r="H34" s="444"/>
      <c r="I34" s="444"/>
      <c r="J34" s="444"/>
      <c r="K34" s="444"/>
      <c r="L34" s="444"/>
      <c r="M34" s="444"/>
      <c r="N34" s="444"/>
      <c r="O34" s="444"/>
      <c r="P34" s="444"/>
      <c r="Q34" s="444"/>
      <c r="R34" s="444"/>
      <c r="S34" s="444"/>
      <c r="T34" s="42"/>
      <c r="U34" s="420">
        <v>3616</v>
      </c>
      <c r="V34" s="456">
        <v>3616</v>
      </c>
      <c r="W34" s="456">
        <v>3616</v>
      </c>
      <c r="X34" s="456">
        <v>3616</v>
      </c>
      <c r="Y34" s="456">
        <v>3616</v>
      </c>
      <c r="Z34" s="456">
        <v>3616</v>
      </c>
      <c r="AA34" s="456">
        <v>3616</v>
      </c>
      <c r="AB34" s="456">
        <v>3616</v>
      </c>
      <c r="AC34" s="456">
        <v>8326</v>
      </c>
      <c r="AD34" s="456">
        <v>8326</v>
      </c>
      <c r="AE34" s="456">
        <v>8326</v>
      </c>
      <c r="AF34" s="456">
        <v>8326</v>
      </c>
      <c r="AG34" s="456">
        <v>8326</v>
      </c>
      <c r="AH34" s="456">
        <v>8326</v>
      </c>
      <c r="AI34" s="456">
        <v>8326</v>
      </c>
      <c r="AJ34" s="456">
        <v>8326</v>
      </c>
      <c r="AK34" s="456">
        <v>66</v>
      </c>
      <c r="AL34" s="456">
        <v>66</v>
      </c>
      <c r="AM34" s="456">
        <v>66</v>
      </c>
      <c r="AN34" s="456">
        <v>66</v>
      </c>
      <c r="AO34" s="456">
        <v>66</v>
      </c>
      <c r="AP34" s="456">
        <v>66</v>
      </c>
      <c r="AQ34" s="456">
        <v>66</v>
      </c>
      <c r="AR34" s="456">
        <v>66</v>
      </c>
      <c r="AS34" s="455">
        <v>217</v>
      </c>
      <c r="AT34" s="455">
        <v>217</v>
      </c>
      <c r="AU34" s="455">
        <v>217</v>
      </c>
      <c r="AV34" s="455">
        <v>217</v>
      </c>
      <c r="AW34" s="455">
        <v>217</v>
      </c>
      <c r="AX34" s="455">
        <v>217</v>
      </c>
      <c r="AY34" s="455">
        <v>217</v>
      </c>
      <c r="AZ34" s="455">
        <v>217</v>
      </c>
      <c r="BA34" s="455">
        <v>217</v>
      </c>
      <c r="BB34" s="455">
        <v>588</v>
      </c>
      <c r="BC34" s="455">
        <v>588</v>
      </c>
      <c r="BD34" s="455">
        <v>588</v>
      </c>
      <c r="BE34" s="455">
        <v>588</v>
      </c>
      <c r="BF34" s="455">
        <v>588</v>
      </c>
      <c r="BG34" s="455">
        <v>588</v>
      </c>
      <c r="BH34" s="455">
        <v>588</v>
      </c>
      <c r="BI34" s="455">
        <v>588</v>
      </c>
      <c r="BJ34" s="455">
        <v>588</v>
      </c>
    </row>
    <row r="35" spans="3:62" ht="9" customHeight="1">
      <c r="C35" s="43"/>
      <c r="D35" s="39"/>
      <c r="E35" s="39"/>
      <c r="F35" s="39"/>
      <c r="G35" s="39"/>
      <c r="H35" s="39"/>
      <c r="I35" s="39"/>
      <c r="J35" s="39"/>
      <c r="K35" s="39"/>
      <c r="L35" s="39"/>
      <c r="M35" s="39"/>
      <c r="N35" s="39"/>
      <c r="O35" s="39"/>
      <c r="P35" s="39"/>
      <c r="Q35" s="43"/>
      <c r="R35" s="39"/>
      <c r="S35" s="39"/>
      <c r="T35" s="39"/>
      <c r="U35" s="319"/>
      <c r="V35" s="53"/>
      <c r="W35" s="53"/>
      <c r="X35" s="47"/>
      <c r="Y35" s="47"/>
      <c r="Z35" s="47"/>
      <c r="AA35" s="53"/>
      <c r="AB35" s="53"/>
      <c r="AC35" s="47"/>
      <c r="AD35" s="47"/>
      <c r="AE35" s="47"/>
      <c r="AF35" s="47"/>
      <c r="AG35" s="53"/>
      <c r="AH35" s="53"/>
      <c r="AI35" s="53"/>
      <c r="AJ35" s="47"/>
      <c r="AK35" s="47"/>
      <c r="AL35" s="47"/>
      <c r="AM35" s="62"/>
      <c r="AN35" s="62"/>
      <c r="AO35" s="62"/>
      <c r="AP35" s="49"/>
      <c r="AQ35" s="49"/>
      <c r="AR35" s="49"/>
      <c r="AS35" s="53"/>
      <c r="AT35" s="53"/>
      <c r="AU35" s="53"/>
      <c r="AV35" s="47"/>
      <c r="AW35" s="47"/>
      <c r="AX35" s="47"/>
      <c r="AY35" s="53"/>
      <c r="AZ35" s="53"/>
      <c r="BA35" s="47"/>
      <c r="BB35" s="47"/>
      <c r="BC35" s="47"/>
      <c r="BD35" s="47"/>
      <c r="BE35" s="52"/>
      <c r="BF35" s="52"/>
      <c r="BG35" s="52"/>
      <c r="BH35" s="45"/>
      <c r="BI35" s="45"/>
      <c r="BJ35" s="45"/>
    </row>
    <row r="36" spans="3:62" s="30" customFormat="1" ht="10.5" customHeight="1">
      <c r="C36" s="444" t="s">
        <v>161</v>
      </c>
      <c r="D36" s="444"/>
      <c r="E36" s="444"/>
      <c r="F36" s="444"/>
      <c r="G36" s="444"/>
      <c r="H36" s="444"/>
      <c r="I36" s="444"/>
      <c r="J36" s="444"/>
      <c r="K36" s="444"/>
      <c r="L36" s="444"/>
      <c r="M36" s="444"/>
      <c r="N36" s="444"/>
      <c r="O36" s="444"/>
      <c r="P36" s="444"/>
      <c r="Q36" s="444"/>
      <c r="R36" s="444"/>
      <c r="S36" s="444"/>
      <c r="T36" s="42"/>
      <c r="U36" s="420">
        <v>142811</v>
      </c>
      <c r="V36" s="456">
        <v>142811</v>
      </c>
      <c r="W36" s="456">
        <v>142811</v>
      </c>
      <c r="X36" s="456">
        <v>142811</v>
      </c>
      <c r="Y36" s="456">
        <v>142811</v>
      </c>
      <c r="Z36" s="456">
        <v>142811</v>
      </c>
      <c r="AA36" s="456">
        <v>142811</v>
      </c>
      <c r="AB36" s="456">
        <v>142811</v>
      </c>
      <c r="AC36" s="456">
        <v>142811</v>
      </c>
      <c r="AD36" s="456">
        <v>142811</v>
      </c>
      <c r="AE36" s="456">
        <v>142811</v>
      </c>
      <c r="AF36" s="456">
        <v>142811</v>
      </c>
      <c r="AG36" s="456">
        <v>142811</v>
      </c>
      <c r="AH36" s="456">
        <v>142811</v>
      </c>
      <c r="AI36" s="456">
        <v>142811</v>
      </c>
      <c r="AJ36" s="456">
        <v>142811</v>
      </c>
      <c r="AK36" s="456">
        <v>3</v>
      </c>
      <c r="AL36" s="456">
        <v>3</v>
      </c>
      <c r="AM36" s="456">
        <v>3</v>
      </c>
      <c r="AN36" s="456">
        <v>3</v>
      </c>
      <c r="AO36" s="456">
        <v>3</v>
      </c>
      <c r="AP36" s="456">
        <v>3</v>
      </c>
      <c r="AQ36" s="456">
        <v>3</v>
      </c>
      <c r="AR36" s="456">
        <v>3</v>
      </c>
      <c r="AS36" s="455">
        <v>348</v>
      </c>
      <c r="AT36" s="455">
        <v>348</v>
      </c>
      <c r="AU36" s="455">
        <v>348</v>
      </c>
      <c r="AV36" s="455">
        <v>348</v>
      </c>
      <c r="AW36" s="455">
        <v>348</v>
      </c>
      <c r="AX36" s="455">
        <v>348</v>
      </c>
      <c r="AY36" s="455">
        <v>348</v>
      </c>
      <c r="AZ36" s="455">
        <v>348</v>
      </c>
      <c r="BA36" s="455">
        <v>348</v>
      </c>
      <c r="BB36" s="456">
        <v>29693</v>
      </c>
      <c r="BC36" s="456">
        <v>29693</v>
      </c>
      <c r="BD36" s="456">
        <v>29693</v>
      </c>
      <c r="BE36" s="456">
        <v>29693</v>
      </c>
      <c r="BF36" s="456">
        <v>29693</v>
      </c>
      <c r="BG36" s="456">
        <v>29693</v>
      </c>
      <c r="BH36" s="456">
        <v>29693</v>
      </c>
      <c r="BI36" s="456">
        <v>29693</v>
      </c>
      <c r="BJ36" s="456">
        <v>29693</v>
      </c>
    </row>
    <row r="37" spans="2:62" ht="10.5" customHeight="1">
      <c r="B37" s="32"/>
      <c r="C37" s="32"/>
      <c r="D37" s="32"/>
      <c r="E37" s="32"/>
      <c r="F37" s="32"/>
      <c r="G37" s="32"/>
      <c r="H37" s="32"/>
      <c r="I37" s="32"/>
      <c r="J37" s="32"/>
      <c r="K37" s="32"/>
      <c r="L37" s="32"/>
      <c r="M37" s="32"/>
      <c r="N37" s="32"/>
      <c r="O37" s="32"/>
      <c r="P37" s="32"/>
      <c r="Q37" s="32"/>
      <c r="R37" s="32"/>
      <c r="S37" s="32"/>
      <c r="T37" s="32"/>
      <c r="U37" s="140"/>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2:62" ht="10.5" customHeight="1">
      <c r="B38" s="367" t="s">
        <v>192</v>
      </c>
      <c r="C38" s="367"/>
      <c r="D38" s="367"/>
      <c r="E38" s="25" t="s">
        <v>591</v>
      </c>
      <c r="F38" s="336" t="s">
        <v>602</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ht="10.5" customHeight="1">
      <c r="B39" s="39"/>
      <c r="C39" s="39"/>
      <c r="D39" s="39"/>
      <c r="E39" s="25"/>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row>
    <row r="40" spans="2:63" ht="10.5" customHeight="1">
      <c r="B40" s="39"/>
      <c r="C40" s="39"/>
      <c r="D40" s="39"/>
      <c r="E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row>
    <row r="41" spans="2:62" s="38" customFormat="1" ht="18" customHeight="1">
      <c r="B41" s="445" t="s">
        <v>403</v>
      </c>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row>
    <row r="42" spans="2:62" ht="12.75" customHeight="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1" t="s">
        <v>483</v>
      </c>
    </row>
    <row r="43" spans="18:62" ht="15.75" customHeight="1">
      <c r="R43" s="446" t="s">
        <v>181</v>
      </c>
      <c r="S43" s="447"/>
      <c r="T43" s="447"/>
      <c r="U43" s="447"/>
      <c r="V43" s="447"/>
      <c r="W43" s="447"/>
      <c r="X43" s="447"/>
      <c r="Y43" s="447"/>
      <c r="Z43" s="447"/>
      <c r="AA43" s="447"/>
      <c r="AB43" s="447"/>
      <c r="AC43" s="447"/>
      <c r="AD43" s="447"/>
      <c r="AE43" s="447"/>
      <c r="AF43" s="448"/>
      <c r="AG43" s="446" t="s">
        <v>376</v>
      </c>
      <c r="AH43" s="447"/>
      <c r="AI43" s="447"/>
      <c r="AJ43" s="447"/>
      <c r="AK43" s="447"/>
      <c r="AL43" s="447"/>
      <c r="AM43" s="447"/>
      <c r="AN43" s="447"/>
      <c r="AO43" s="447"/>
      <c r="AP43" s="447"/>
      <c r="AQ43" s="447"/>
      <c r="AR43" s="447"/>
      <c r="AS43" s="447"/>
      <c r="AT43" s="447"/>
      <c r="AU43" s="448"/>
      <c r="AV43" s="446" t="s">
        <v>377</v>
      </c>
      <c r="AW43" s="447"/>
      <c r="AX43" s="447"/>
      <c r="AY43" s="447"/>
      <c r="AZ43" s="447"/>
      <c r="BA43" s="447"/>
      <c r="BB43" s="447"/>
      <c r="BC43" s="447"/>
      <c r="BD43" s="447"/>
      <c r="BE43" s="447"/>
      <c r="BF43" s="447"/>
      <c r="BG43" s="447"/>
      <c r="BH43" s="447"/>
      <c r="BI43" s="447"/>
      <c r="BJ43" s="447"/>
    </row>
    <row r="44" spans="2:62" ht="15.75" customHeight="1">
      <c r="B44" s="466" t="s">
        <v>378</v>
      </c>
      <c r="C44" s="466"/>
      <c r="D44" s="466"/>
      <c r="E44" s="466"/>
      <c r="F44" s="466"/>
      <c r="G44" s="466"/>
      <c r="H44" s="466"/>
      <c r="I44" s="466"/>
      <c r="J44" s="466"/>
      <c r="K44" s="466"/>
      <c r="L44" s="466"/>
      <c r="M44" s="466"/>
      <c r="N44" s="466"/>
      <c r="O44" s="466"/>
      <c r="P44" s="466"/>
      <c r="Q44" s="460"/>
      <c r="R44" s="467" t="s">
        <v>363</v>
      </c>
      <c r="S44" s="468"/>
      <c r="T44" s="468"/>
      <c r="U44" s="468"/>
      <c r="V44" s="469"/>
      <c r="W44" s="453" t="s">
        <v>375</v>
      </c>
      <c r="X44" s="450"/>
      <c r="Y44" s="450"/>
      <c r="Z44" s="450"/>
      <c r="AA44" s="450"/>
      <c r="AB44" s="453" t="s">
        <v>374</v>
      </c>
      <c r="AC44" s="450"/>
      <c r="AD44" s="450"/>
      <c r="AE44" s="450"/>
      <c r="AF44" s="450"/>
      <c r="AG44" s="449" t="s">
        <v>363</v>
      </c>
      <c r="AH44" s="450"/>
      <c r="AI44" s="450"/>
      <c r="AJ44" s="450"/>
      <c r="AK44" s="450"/>
      <c r="AL44" s="453" t="s">
        <v>375</v>
      </c>
      <c r="AM44" s="450"/>
      <c r="AN44" s="450"/>
      <c r="AO44" s="450"/>
      <c r="AP44" s="450"/>
      <c r="AQ44" s="453" t="s">
        <v>374</v>
      </c>
      <c r="AR44" s="450"/>
      <c r="AS44" s="450"/>
      <c r="AT44" s="450"/>
      <c r="AU44" s="450"/>
      <c r="AV44" s="449" t="s">
        <v>363</v>
      </c>
      <c r="AW44" s="450"/>
      <c r="AX44" s="450"/>
      <c r="AY44" s="450"/>
      <c r="AZ44" s="450"/>
      <c r="BA44" s="453" t="s">
        <v>375</v>
      </c>
      <c r="BB44" s="450"/>
      <c r="BC44" s="450"/>
      <c r="BD44" s="450"/>
      <c r="BE44" s="450"/>
      <c r="BF44" s="453" t="s">
        <v>374</v>
      </c>
      <c r="BG44" s="450"/>
      <c r="BH44" s="450"/>
      <c r="BI44" s="450"/>
      <c r="BJ44" s="450"/>
    </row>
    <row r="45" spans="2:62" ht="15.75" customHeight="1">
      <c r="B45" s="167"/>
      <c r="C45" s="167"/>
      <c r="D45" s="167"/>
      <c r="E45" s="167"/>
      <c r="F45" s="167"/>
      <c r="G45" s="167"/>
      <c r="H45" s="167"/>
      <c r="I45" s="167"/>
      <c r="J45" s="167"/>
      <c r="K45" s="167"/>
      <c r="L45" s="167"/>
      <c r="M45" s="167"/>
      <c r="N45" s="167"/>
      <c r="O45" s="167"/>
      <c r="P45" s="167"/>
      <c r="Q45" s="167"/>
      <c r="R45" s="470"/>
      <c r="S45" s="471"/>
      <c r="T45" s="471"/>
      <c r="U45" s="471"/>
      <c r="V45" s="462"/>
      <c r="W45" s="451"/>
      <c r="X45" s="452"/>
      <c r="Y45" s="452"/>
      <c r="Z45" s="452"/>
      <c r="AA45" s="452"/>
      <c r="AB45" s="451"/>
      <c r="AC45" s="452"/>
      <c r="AD45" s="452"/>
      <c r="AE45" s="452"/>
      <c r="AF45" s="452"/>
      <c r="AG45" s="451"/>
      <c r="AH45" s="452"/>
      <c r="AI45" s="452"/>
      <c r="AJ45" s="452"/>
      <c r="AK45" s="452"/>
      <c r="AL45" s="451"/>
      <c r="AM45" s="452"/>
      <c r="AN45" s="452"/>
      <c r="AO45" s="452"/>
      <c r="AP45" s="452"/>
      <c r="AQ45" s="451"/>
      <c r="AR45" s="452"/>
      <c r="AS45" s="452"/>
      <c r="AT45" s="452"/>
      <c r="AU45" s="452"/>
      <c r="AV45" s="451"/>
      <c r="AW45" s="452"/>
      <c r="AX45" s="452"/>
      <c r="AY45" s="452"/>
      <c r="AZ45" s="452"/>
      <c r="BA45" s="451"/>
      <c r="BB45" s="452"/>
      <c r="BC45" s="452"/>
      <c r="BD45" s="452"/>
      <c r="BE45" s="452"/>
      <c r="BF45" s="451"/>
      <c r="BG45" s="452"/>
      <c r="BH45" s="452"/>
      <c r="BI45" s="452"/>
      <c r="BJ45" s="452"/>
    </row>
    <row r="46" spans="18:62" ht="10.5" customHeight="1">
      <c r="R46" s="15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row>
    <row r="47" spans="3:62" s="30" customFormat="1" ht="10.5" customHeight="1">
      <c r="C47" s="441" t="s">
        <v>364</v>
      </c>
      <c r="D47" s="441"/>
      <c r="E47" s="441"/>
      <c r="F47" s="441"/>
      <c r="G47" s="441"/>
      <c r="H47" s="441"/>
      <c r="I47" s="441"/>
      <c r="J47" s="441"/>
      <c r="K47" s="441"/>
      <c r="L47" s="441"/>
      <c r="M47" s="441"/>
      <c r="N47" s="441"/>
      <c r="O47" s="441"/>
      <c r="P47" s="441"/>
      <c r="R47" s="442">
        <v>26630</v>
      </c>
      <c r="S47" s="440"/>
      <c r="T47" s="440"/>
      <c r="U47" s="440"/>
      <c r="V47" s="440"/>
      <c r="W47" s="440">
        <v>4173</v>
      </c>
      <c r="X47" s="440"/>
      <c r="Y47" s="440"/>
      <c r="Z47" s="440"/>
      <c r="AA47" s="440"/>
      <c r="AB47" s="440">
        <v>22384</v>
      </c>
      <c r="AC47" s="440"/>
      <c r="AD47" s="440"/>
      <c r="AE47" s="440"/>
      <c r="AF47" s="440"/>
      <c r="AG47" s="440">
        <v>8201</v>
      </c>
      <c r="AH47" s="440"/>
      <c r="AI47" s="440"/>
      <c r="AJ47" s="440"/>
      <c r="AK47" s="440"/>
      <c r="AL47" s="440">
        <v>3285</v>
      </c>
      <c r="AM47" s="440"/>
      <c r="AN47" s="440"/>
      <c r="AO47" s="440"/>
      <c r="AP47" s="440"/>
      <c r="AQ47" s="440">
        <v>4908</v>
      </c>
      <c r="AR47" s="440"/>
      <c r="AS47" s="440"/>
      <c r="AT47" s="440"/>
      <c r="AU47" s="440"/>
      <c r="AV47" s="440">
        <v>14762</v>
      </c>
      <c r="AW47" s="440"/>
      <c r="AX47" s="440"/>
      <c r="AY47" s="440"/>
      <c r="AZ47" s="440"/>
      <c r="BA47" s="440">
        <v>868</v>
      </c>
      <c r="BB47" s="440"/>
      <c r="BC47" s="440"/>
      <c r="BD47" s="440"/>
      <c r="BE47" s="440"/>
      <c r="BF47" s="440">
        <v>13890</v>
      </c>
      <c r="BG47" s="440"/>
      <c r="BH47" s="440"/>
      <c r="BI47" s="440"/>
      <c r="BJ47" s="440"/>
    </row>
    <row r="48" spans="18:62" ht="9" customHeight="1">
      <c r="R48" s="148"/>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row>
    <row r="49" spans="4:62" s="30" customFormat="1" ht="10.5" customHeight="1">
      <c r="D49" s="441" t="s">
        <v>365</v>
      </c>
      <c r="E49" s="441"/>
      <c r="F49" s="441"/>
      <c r="G49" s="441"/>
      <c r="H49" s="441"/>
      <c r="I49" s="441"/>
      <c r="J49" s="441"/>
      <c r="K49" s="441"/>
      <c r="L49" s="441"/>
      <c r="M49" s="441"/>
      <c r="N49" s="441"/>
      <c r="O49" s="441"/>
      <c r="P49" s="441"/>
      <c r="R49" s="442">
        <v>4528</v>
      </c>
      <c r="S49" s="440"/>
      <c r="T49" s="440"/>
      <c r="U49" s="440"/>
      <c r="V49" s="440"/>
      <c r="W49" s="440">
        <v>1313</v>
      </c>
      <c r="X49" s="440"/>
      <c r="Y49" s="440"/>
      <c r="Z49" s="440"/>
      <c r="AA49" s="440"/>
      <c r="AB49" s="440">
        <v>3202</v>
      </c>
      <c r="AC49" s="440"/>
      <c r="AD49" s="440"/>
      <c r="AE49" s="440"/>
      <c r="AF49" s="440"/>
      <c r="AG49" s="440">
        <v>2182</v>
      </c>
      <c r="AH49" s="440"/>
      <c r="AI49" s="440"/>
      <c r="AJ49" s="440"/>
      <c r="AK49" s="440"/>
      <c r="AL49" s="440">
        <v>1012</v>
      </c>
      <c r="AM49" s="440"/>
      <c r="AN49" s="440"/>
      <c r="AO49" s="440"/>
      <c r="AP49" s="440"/>
      <c r="AQ49" s="440">
        <v>1166</v>
      </c>
      <c r="AR49" s="440"/>
      <c r="AS49" s="440"/>
      <c r="AT49" s="440"/>
      <c r="AU49" s="440"/>
      <c r="AV49" s="440">
        <v>1776</v>
      </c>
      <c r="AW49" s="440"/>
      <c r="AX49" s="440"/>
      <c r="AY49" s="440"/>
      <c r="AZ49" s="440"/>
      <c r="BA49" s="440">
        <v>295</v>
      </c>
      <c r="BB49" s="440"/>
      <c r="BC49" s="440"/>
      <c r="BD49" s="440"/>
      <c r="BE49" s="440"/>
      <c r="BF49" s="440">
        <v>1481</v>
      </c>
      <c r="BG49" s="440"/>
      <c r="BH49" s="440"/>
      <c r="BI49" s="440"/>
      <c r="BJ49" s="440"/>
    </row>
    <row r="50" spans="6:62" ht="10.5" customHeight="1">
      <c r="F50" s="438" t="s">
        <v>366</v>
      </c>
      <c r="G50" s="438"/>
      <c r="H50" s="438"/>
      <c r="I50" s="438"/>
      <c r="J50" s="438"/>
      <c r="K50" s="438"/>
      <c r="L50" s="438"/>
      <c r="M50" s="438"/>
      <c r="N50" s="438"/>
      <c r="O50" s="438"/>
      <c r="P50" s="438"/>
      <c r="R50" s="439">
        <v>3459</v>
      </c>
      <c r="S50" s="437"/>
      <c r="T50" s="437"/>
      <c r="U50" s="437"/>
      <c r="V50" s="437"/>
      <c r="W50" s="437">
        <v>1024</v>
      </c>
      <c r="X50" s="437"/>
      <c r="Y50" s="437"/>
      <c r="Z50" s="437"/>
      <c r="AA50" s="437"/>
      <c r="AB50" s="437">
        <v>2426</v>
      </c>
      <c r="AC50" s="437"/>
      <c r="AD50" s="437"/>
      <c r="AE50" s="437"/>
      <c r="AF50" s="437"/>
      <c r="AG50" s="437">
        <v>1789</v>
      </c>
      <c r="AH50" s="437"/>
      <c r="AI50" s="437"/>
      <c r="AJ50" s="437"/>
      <c r="AK50" s="437"/>
      <c r="AL50" s="437">
        <v>821</v>
      </c>
      <c r="AM50" s="437"/>
      <c r="AN50" s="437"/>
      <c r="AO50" s="437"/>
      <c r="AP50" s="437"/>
      <c r="AQ50" s="437">
        <v>967</v>
      </c>
      <c r="AR50" s="437"/>
      <c r="AS50" s="437"/>
      <c r="AT50" s="437"/>
      <c r="AU50" s="437"/>
      <c r="AV50" s="437">
        <v>1236</v>
      </c>
      <c r="AW50" s="437"/>
      <c r="AX50" s="437"/>
      <c r="AY50" s="437"/>
      <c r="AZ50" s="437"/>
      <c r="BA50" s="437">
        <v>200</v>
      </c>
      <c r="BB50" s="437"/>
      <c r="BC50" s="437"/>
      <c r="BD50" s="437"/>
      <c r="BE50" s="437"/>
      <c r="BF50" s="437">
        <v>1036</v>
      </c>
      <c r="BG50" s="437"/>
      <c r="BH50" s="437"/>
      <c r="BI50" s="437"/>
      <c r="BJ50" s="437"/>
    </row>
    <row r="51" spans="6:62" ht="10.5" customHeight="1">
      <c r="F51" s="443" t="s">
        <v>367</v>
      </c>
      <c r="G51" s="438"/>
      <c r="H51" s="438"/>
      <c r="I51" s="438"/>
      <c r="J51" s="438"/>
      <c r="K51" s="438"/>
      <c r="L51" s="438"/>
      <c r="M51" s="438"/>
      <c r="N51" s="438"/>
      <c r="O51" s="438"/>
      <c r="P51" s="438"/>
      <c r="R51" s="439">
        <v>937</v>
      </c>
      <c r="S51" s="437"/>
      <c r="T51" s="437"/>
      <c r="U51" s="437"/>
      <c r="V51" s="437"/>
      <c r="W51" s="437">
        <v>254</v>
      </c>
      <c r="X51" s="437"/>
      <c r="Y51" s="437"/>
      <c r="Z51" s="437"/>
      <c r="AA51" s="437"/>
      <c r="AB51" s="437">
        <v>679</v>
      </c>
      <c r="AC51" s="437"/>
      <c r="AD51" s="437"/>
      <c r="AE51" s="437"/>
      <c r="AF51" s="437"/>
      <c r="AG51" s="437">
        <v>355</v>
      </c>
      <c r="AH51" s="437"/>
      <c r="AI51" s="437"/>
      <c r="AJ51" s="437"/>
      <c r="AK51" s="437"/>
      <c r="AL51" s="437">
        <v>171</v>
      </c>
      <c r="AM51" s="437"/>
      <c r="AN51" s="437"/>
      <c r="AO51" s="437"/>
      <c r="AP51" s="437"/>
      <c r="AQ51" s="437">
        <v>181</v>
      </c>
      <c r="AR51" s="437"/>
      <c r="AS51" s="437"/>
      <c r="AT51" s="437"/>
      <c r="AU51" s="437"/>
      <c r="AV51" s="437">
        <v>462</v>
      </c>
      <c r="AW51" s="437"/>
      <c r="AX51" s="437"/>
      <c r="AY51" s="437"/>
      <c r="AZ51" s="437"/>
      <c r="BA51" s="437">
        <v>80</v>
      </c>
      <c r="BB51" s="437"/>
      <c r="BC51" s="437"/>
      <c r="BD51" s="437"/>
      <c r="BE51" s="437"/>
      <c r="BF51" s="437">
        <v>382</v>
      </c>
      <c r="BG51" s="437"/>
      <c r="BH51" s="437"/>
      <c r="BI51" s="437"/>
      <c r="BJ51" s="437"/>
    </row>
    <row r="52" spans="6:62" ht="10.5" customHeight="1">
      <c r="F52" s="443" t="s">
        <v>368</v>
      </c>
      <c r="G52" s="438"/>
      <c r="H52" s="438"/>
      <c r="I52" s="438"/>
      <c r="J52" s="438"/>
      <c r="K52" s="438"/>
      <c r="L52" s="438"/>
      <c r="M52" s="438"/>
      <c r="N52" s="438"/>
      <c r="O52" s="438"/>
      <c r="P52" s="438"/>
      <c r="R52" s="439">
        <v>111</v>
      </c>
      <c r="S52" s="437"/>
      <c r="T52" s="437"/>
      <c r="U52" s="437"/>
      <c r="V52" s="437"/>
      <c r="W52" s="437">
        <v>28</v>
      </c>
      <c r="X52" s="437"/>
      <c r="Y52" s="437"/>
      <c r="Z52" s="437"/>
      <c r="AA52" s="437"/>
      <c r="AB52" s="437">
        <v>83</v>
      </c>
      <c r="AC52" s="437"/>
      <c r="AD52" s="437"/>
      <c r="AE52" s="437"/>
      <c r="AF52" s="437"/>
      <c r="AG52" s="437">
        <v>29</v>
      </c>
      <c r="AH52" s="437"/>
      <c r="AI52" s="437"/>
      <c r="AJ52" s="437"/>
      <c r="AK52" s="437"/>
      <c r="AL52" s="437">
        <v>14</v>
      </c>
      <c r="AM52" s="437"/>
      <c r="AN52" s="437"/>
      <c r="AO52" s="437"/>
      <c r="AP52" s="437"/>
      <c r="AQ52" s="437">
        <v>15</v>
      </c>
      <c r="AR52" s="437"/>
      <c r="AS52" s="437"/>
      <c r="AT52" s="437"/>
      <c r="AU52" s="437"/>
      <c r="AV52" s="437">
        <v>66</v>
      </c>
      <c r="AW52" s="437"/>
      <c r="AX52" s="437"/>
      <c r="AY52" s="437"/>
      <c r="AZ52" s="437"/>
      <c r="BA52" s="437">
        <v>14</v>
      </c>
      <c r="BB52" s="437"/>
      <c r="BC52" s="437"/>
      <c r="BD52" s="437"/>
      <c r="BE52" s="437"/>
      <c r="BF52" s="437">
        <v>52</v>
      </c>
      <c r="BG52" s="437"/>
      <c r="BH52" s="437"/>
      <c r="BI52" s="437"/>
      <c r="BJ52" s="437"/>
    </row>
    <row r="53" spans="6:62" ht="10.5" customHeight="1">
      <c r="F53" s="443" t="s">
        <v>369</v>
      </c>
      <c r="G53" s="438"/>
      <c r="H53" s="438"/>
      <c r="I53" s="438"/>
      <c r="J53" s="438"/>
      <c r="K53" s="438"/>
      <c r="L53" s="438"/>
      <c r="M53" s="438"/>
      <c r="N53" s="438"/>
      <c r="O53" s="438"/>
      <c r="P53" s="438"/>
      <c r="R53" s="439">
        <v>18</v>
      </c>
      <c r="S53" s="437"/>
      <c r="T53" s="437"/>
      <c r="U53" s="437"/>
      <c r="V53" s="437"/>
      <c r="W53" s="437">
        <v>6</v>
      </c>
      <c r="X53" s="437"/>
      <c r="Y53" s="437"/>
      <c r="Z53" s="437"/>
      <c r="AA53" s="437"/>
      <c r="AB53" s="437">
        <v>12</v>
      </c>
      <c r="AC53" s="437"/>
      <c r="AD53" s="437"/>
      <c r="AE53" s="437"/>
      <c r="AF53" s="437"/>
      <c r="AG53" s="437">
        <v>8</v>
      </c>
      <c r="AH53" s="437"/>
      <c r="AI53" s="437"/>
      <c r="AJ53" s="437"/>
      <c r="AK53" s="437"/>
      <c r="AL53" s="437">
        <v>5</v>
      </c>
      <c r="AM53" s="437"/>
      <c r="AN53" s="437"/>
      <c r="AO53" s="437"/>
      <c r="AP53" s="437"/>
      <c r="AQ53" s="437">
        <v>3</v>
      </c>
      <c r="AR53" s="437"/>
      <c r="AS53" s="437"/>
      <c r="AT53" s="437"/>
      <c r="AU53" s="437"/>
      <c r="AV53" s="437">
        <v>10</v>
      </c>
      <c r="AW53" s="437"/>
      <c r="AX53" s="437"/>
      <c r="AY53" s="437"/>
      <c r="AZ53" s="437"/>
      <c r="BA53" s="437">
        <v>1</v>
      </c>
      <c r="BB53" s="437"/>
      <c r="BC53" s="437"/>
      <c r="BD53" s="437"/>
      <c r="BE53" s="437"/>
      <c r="BF53" s="437">
        <v>9</v>
      </c>
      <c r="BG53" s="437"/>
      <c r="BH53" s="437"/>
      <c r="BI53" s="437"/>
      <c r="BJ53" s="437"/>
    </row>
    <row r="54" spans="6:62" ht="10.5" customHeight="1">
      <c r="F54" s="443" t="s">
        <v>370</v>
      </c>
      <c r="G54" s="438"/>
      <c r="H54" s="438"/>
      <c r="I54" s="438"/>
      <c r="J54" s="438"/>
      <c r="K54" s="438"/>
      <c r="L54" s="438"/>
      <c r="M54" s="438"/>
      <c r="N54" s="438"/>
      <c r="O54" s="438"/>
      <c r="P54" s="438"/>
      <c r="R54" s="439">
        <v>3</v>
      </c>
      <c r="S54" s="437"/>
      <c r="T54" s="437"/>
      <c r="U54" s="437"/>
      <c r="V54" s="437"/>
      <c r="W54" s="437">
        <v>1</v>
      </c>
      <c r="X54" s="437"/>
      <c r="Y54" s="437"/>
      <c r="Z54" s="437"/>
      <c r="AA54" s="437"/>
      <c r="AB54" s="437">
        <v>2</v>
      </c>
      <c r="AC54" s="437"/>
      <c r="AD54" s="437"/>
      <c r="AE54" s="437"/>
      <c r="AF54" s="437"/>
      <c r="AG54" s="437">
        <v>1</v>
      </c>
      <c r="AH54" s="437"/>
      <c r="AI54" s="437"/>
      <c r="AJ54" s="437"/>
      <c r="AK54" s="437"/>
      <c r="AL54" s="437">
        <v>1</v>
      </c>
      <c r="AM54" s="437"/>
      <c r="AN54" s="437"/>
      <c r="AO54" s="437"/>
      <c r="AP54" s="437"/>
      <c r="AQ54" s="437">
        <v>0</v>
      </c>
      <c r="AR54" s="437"/>
      <c r="AS54" s="437"/>
      <c r="AT54" s="437"/>
      <c r="AU54" s="437"/>
      <c r="AV54" s="437">
        <v>2</v>
      </c>
      <c r="AW54" s="437"/>
      <c r="AX54" s="437"/>
      <c r="AY54" s="437"/>
      <c r="AZ54" s="437"/>
      <c r="BA54" s="437">
        <v>0</v>
      </c>
      <c r="BB54" s="437"/>
      <c r="BC54" s="437"/>
      <c r="BD54" s="437"/>
      <c r="BE54" s="437"/>
      <c r="BF54" s="437">
        <v>2</v>
      </c>
      <c r="BG54" s="437"/>
      <c r="BH54" s="437"/>
      <c r="BI54" s="437"/>
      <c r="BJ54" s="437"/>
    </row>
    <row r="55" spans="18:62" ht="9" customHeight="1">
      <c r="R55" s="148"/>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row>
    <row r="56" spans="4:62" s="30" customFormat="1" ht="10.5" customHeight="1">
      <c r="D56" s="441" t="s">
        <v>371</v>
      </c>
      <c r="E56" s="441"/>
      <c r="F56" s="441"/>
      <c r="G56" s="441"/>
      <c r="H56" s="441"/>
      <c r="I56" s="441"/>
      <c r="J56" s="441"/>
      <c r="K56" s="441"/>
      <c r="L56" s="441"/>
      <c r="M56" s="441"/>
      <c r="N56" s="441"/>
      <c r="O56" s="441"/>
      <c r="P56" s="441"/>
      <c r="R56" s="442">
        <v>7976</v>
      </c>
      <c r="S56" s="440"/>
      <c r="T56" s="440"/>
      <c r="U56" s="440"/>
      <c r="V56" s="440"/>
      <c r="W56" s="440">
        <v>1604</v>
      </c>
      <c r="X56" s="440"/>
      <c r="Y56" s="440"/>
      <c r="Z56" s="440"/>
      <c r="AA56" s="440"/>
      <c r="AB56" s="440">
        <v>6355</v>
      </c>
      <c r="AC56" s="440"/>
      <c r="AD56" s="440"/>
      <c r="AE56" s="440"/>
      <c r="AF56" s="440"/>
      <c r="AG56" s="440">
        <v>3107</v>
      </c>
      <c r="AH56" s="440"/>
      <c r="AI56" s="440"/>
      <c r="AJ56" s="440"/>
      <c r="AK56" s="440"/>
      <c r="AL56" s="440">
        <v>1251</v>
      </c>
      <c r="AM56" s="440"/>
      <c r="AN56" s="440"/>
      <c r="AO56" s="440"/>
      <c r="AP56" s="440"/>
      <c r="AQ56" s="440">
        <v>1856</v>
      </c>
      <c r="AR56" s="440"/>
      <c r="AS56" s="440"/>
      <c r="AT56" s="440"/>
      <c r="AU56" s="440"/>
      <c r="AV56" s="440">
        <v>3828</v>
      </c>
      <c r="AW56" s="440"/>
      <c r="AX56" s="440"/>
      <c r="AY56" s="440"/>
      <c r="AZ56" s="440"/>
      <c r="BA56" s="440">
        <v>348</v>
      </c>
      <c r="BB56" s="440"/>
      <c r="BC56" s="440"/>
      <c r="BD56" s="440"/>
      <c r="BE56" s="440"/>
      <c r="BF56" s="440">
        <v>3480</v>
      </c>
      <c r="BG56" s="440"/>
      <c r="BH56" s="440"/>
      <c r="BI56" s="440"/>
      <c r="BJ56" s="440"/>
    </row>
    <row r="57" spans="6:62" ht="10.5" customHeight="1">
      <c r="F57" s="438" t="s">
        <v>366</v>
      </c>
      <c r="G57" s="438"/>
      <c r="H57" s="438"/>
      <c r="I57" s="438"/>
      <c r="J57" s="438"/>
      <c r="K57" s="438"/>
      <c r="L57" s="438"/>
      <c r="M57" s="438"/>
      <c r="N57" s="438"/>
      <c r="O57" s="438"/>
      <c r="P57" s="438"/>
      <c r="R57" s="439">
        <v>3075</v>
      </c>
      <c r="S57" s="437"/>
      <c r="T57" s="437"/>
      <c r="U57" s="437"/>
      <c r="V57" s="437"/>
      <c r="W57" s="437">
        <v>739</v>
      </c>
      <c r="X57" s="437"/>
      <c r="Y57" s="437"/>
      <c r="Z57" s="437"/>
      <c r="AA57" s="437"/>
      <c r="AB57" s="437">
        <v>2329</v>
      </c>
      <c r="AC57" s="437"/>
      <c r="AD57" s="437"/>
      <c r="AE57" s="437"/>
      <c r="AF57" s="437"/>
      <c r="AG57" s="437">
        <v>1507</v>
      </c>
      <c r="AH57" s="437"/>
      <c r="AI57" s="437"/>
      <c r="AJ57" s="437"/>
      <c r="AK57" s="437"/>
      <c r="AL57" s="437">
        <v>622</v>
      </c>
      <c r="AM57" s="437"/>
      <c r="AN57" s="437"/>
      <c r="AO57" s="437"/>
      <c r="AP57" s="437"/>
      <c r="AQ57" s="437">
        <v>885</v>
      </c>
      <c r="AR57" s="437"/>
      <c r="AS57" s="437"/>
      <c r="AT57" s="437"/>
      <c r="AU57" s="437"/>
      <c r="AV57" s="437">
        <v>1168</v>
      </c>
      <c r="AW57" s="437"/>
      <c r="AX57" s="437"/>
      <c r="AY57" s="437"/>
      <c r="AZ57" s="437"/>
      <c r="BA57" s="437">
        <v>114</v>
      </c>
      <c r="BB57" s="437"/>
      <c r="BC57" s="437"/>
      <c r="BD57" s="437"/>
      <c r="BE57" s="437"/>
      <c r="BF57" s="437">
        <v>1054</v>
      </c>
      <c r="BG57" s="437"/>
      <c r="BH57" s="437"/>
      <c r="BI57" s="437"/>
      <c r="BJ57" s="437"/>
    </row>
    <row r="58" spans="6:62" ht="10.5" customHeight="1">
      <c r="F58" s="443" t="s">
        <v>367</v>
      </c>
      <c r="G58" s="438"/>
      <c r="H58" s="438"/>
      <c r="I58" s="438"/>
      <c r="J58" s="438"/>
      <c r="K58" s="438"/>
      <c r="L58" s="438"/>
      <c r="M58" s="438"/>
      <c r="N58" s="438"/>
      <c r="O58" s="438"/>
      <c r="P58" s="438"/>
      <c r="R58" s="439">
        <v>3940</v>
      </c>
      <c r="S58" s="437"/>
      <c r="T58" s="437"/>
      <c r="U58" s="437"/>
      <c r="V58" s="437"/>
      <c r="W58" s="437">
        <v>709</v>
      </c>
      <c r="X58" s="437"/>
      <c r="Y58" s="437"/>
      <c r="Z58" s="437"/>
      <c r="AA58" s="437"/>
      <c r="AB58" s="437">
        <v>3222</v>
      </c>
      <c r="AC58" s="437"/>
      <c r="AD58" s="437"/>
      <c r="AE58" s="437"/>
      <c r="AF58" s="437"/>
      <c r="AG58" s="437">
        <v>1377</v>
      </c>
      <c r="AH58" s="437"/>
      <c r="AI58" s="437"/>
      <c r="AJ58" s="437"/>
      <c r="AK58" s="437"/>
      <c r="AL58" s="437">
        <v>532</v>
      </c>
      <c r="AM58" s="437"/>
      <c r="AN58" s="437"/>
      <c r="AO58" s="437"/>
      <c r="AP58" s="437"/>
      <c r="AQ58" s="437">
        <v>845</v>
      </c>
      <c r="AR58" s="437"/>
      <c r="AS58" s="437"/>
      <c r="AT58" s="437"/>
      <c r="AU58" s="437"/>
      <c r="AV58" s="437">
        <v>2056</v>
      </c>
      <c r="AW58" s="437"/>
      <c r="AX58" s="437"/>
      <c r="AY58" s="437"/>
      <c r="AZ58" s="437"/>
      <c r="BA58" s="437">
        <v>177</v>
      </c>
      <c r="BB58" s="437"/>
      <c r="BC58" s="437"/>
      <c r="BD58" s="437"/>
      <c r="BE58" s="437"/>
      <c r="BF58" s="437">
        <v>1879</v>
      </c>
      <c r="BG58" s="437"/>
      <c r="BH58" s="437"/>
      <c r="BI58" s="437"/>
      <c r="BJ58" s="437"/>
    </row>
    <row r="59" spans="6:62" ht="10.5" customHeight="1">
      <c r="F59" s="443" t="s">
        <v>368</v>
      </c>
      <c r="G59" s="438"/>
      <c r="H59" s="438"/>
      <c r="I59" s="438"/>
      <c r="J59" s="438"/>
      <c r="K59" s="438"/>
      <c r="L59" s="438"/>
      <c r="M59" s="438"/>
      <c r="N59" s="438"/>
      <c r="O59" s="438"/>
      <c r="P59" s="438"/>
      <c r="R59" s="439">
        <v>867</v>
      </c>
      <c r="S59" s="437"/>
      <c r="T59" s="437"/>
      <c r="U59" s="437"/>
      <c r="V59" s="437"/>
      <c r="W59" s="437">
        <v>141</v>
      </c>
      <c r="X59" s="437"/>
      <c r="Y59" s="437"/>
      <c r="Z59" s="437"/>
      <c r="AA59" s="437"/>
      <c r="AB59" s="437">
        <v>725</v>
      </c>
      <c r="AC59" s="437"/>
      <c r="AD59" s="437"/>
      <c r="AE59" s="437"/>
      <c r="AF59" s="437"/>
      <c r="AG59" s="437">
        <v>204</v>
      </c>
      <c r="AH59" s="437"/>
      <c r="AI59" s="437"/>
      <c r="AJ59" s="437"/>
      <c r="AK59" s="437"/>
      <c r="AL59" s="437">
        <v>90</v>
      </c>
      <c r="AM59" s="437"/>
      <c r="AN59" s="437"/>
      <c r="AO59" s="437"/>
      <c r="AP59" s="437"/>
      <c r="AQ59" s="437">
        <v>114</v>
      </c>
      <c r="AR59" s="437"/>
      <c r="AS59" s="437"/>
      <c r="AT59" s="437"/>
      <c r="AU59" s="437"/>
      <c r="AV59" s="437">
        <v>539</v>
      </c>
      <c r="AW59" s="437"/>
      <c r="AX59" s="437"/>
      <c r="AY59" s="437"/>
      <c r="AZ59" s="437"/>
      <c r="BA59" s="437">
        <v>49</v>
      </c>
      <c r="BB59" s="437"/>
      <c r="BC59" s="437"/>
      <c r="BD59" s="437"/>
      <c r="BE59" s="437"/>
      <c r="BF59" s="437">
        <v>490</v>
      </c>
      <c r="BG59" s="437"/>
      <c r="BH59" s="437"/>
      <c r="BI59" s="437"/>
      <c r="BJ59" s="437"/>
    </row>
    <row r="60" spans="6:62" ht="10.5" customHeight="1">
      <c r="F60" s="443" t="s">
        <v>369</v>
      </c>
      <c r="G60" s="438"/>
      <c r="H60" s="438"/>
      <c r="I60" s="438"/>
      <c r="J60" s="438"/>
      <c r="K60" s="438"/>
      <c r="L60" s="438"/>
      <c r="M60" s="438"/>
      <c r="N60" s="438"/>
      <c r="O60" s="438"/>
      <c r="P60" s="438"/>
      <c r="R60" s="439">
        <v>75</v>
      </c>
      <c r="S60" s="437"/>
      <c r="T60" s="437"/>
      <c r="U60" s="437"/>
      <c r="V60" s="437"/>
      <c r="W60" s="437">
        <v>8</v>
      </c>
      <c r="X60" s="437"/>
      <c r="Y60" s="437"/>
      <c r="Z60" s="437"/>
      <c r="AA60" s="437"/>
      <c r="AB60" s="437">
        <v>67</v>
      </c>
      <c r="AC60" s="437"/>
      <c r="AD60" s="437"/>
      <c r="AE60" s="437"/>
      <c r="AF60" s="437"/>
      <c r="AG60" s="437">
        <v>16</v>
      </c>
      <c r="AH60" s="437"/>
      <c r="AI60" s="437"/>
      <c r="AJ60" s="437"/>
      <c r="AK60" s="437"/>
      <c r="AL60" s="437">
        <v>4</v>
      </c>
      <c r="AM60" s="437"/>
      <c r="AN60" s="437"/>
      <c r="AO60" s="437"/>
      <c r="AP60" s="437"/>
      <c r="AQ60" s="437">
        <v>12</v>
      </c>
      <c r="AR60" s="437"/>
      <c r="AS60" s="437"/>
      <c r="AT60" s="437"/>
      <c r="AU60" s="437"/>
      <c r="AV60" s="437">
        <v>50</v>
      </c>
      <c r="AW60" s="437"/>
      <c r="AX60" s="437"/>
      <c r="AY60" s="437"/>
      <c r="AZ60" s="437"/>
      <c r="BA60" s="437">
        <v>4</v>
      </c>
      <c r="BB60" s="437"/>
      <c r="BC60" s="437"/>
      <c r="BD60" s="437"/>
      <c r="BE60" s="437"/>
      <c r="BF60" s="437">
        <v>46</v>
      </c>
      <c r="BG60" s="437"/>
      <c r="BH60" s="437"/>
      <c r="BI60" s="437"/>
      <c r="BJ60" s="437"/>
    </row>
    <row r="61" spans="6:62" ht="10.5" customHeight="1">
      <c r="F61" s="443" t="s">
        <v>370</v>
      </c>
      <c r="G61" s="438"/>
      <c r="H61" s="438"/>
      <c r="I61" s="438"/>
      <c r="J61" s="438"/>
      <c r="K61" s="438"/>
      <c r="L61" s="438"/>
      <c r="M61" s="438"/>
      <c r="N61" s="438"/>
      <c r="O61" s="438"/>
      <c r="P61" s="438"/>
      <c r="R61" s="439">
        <v>19</v>
      </c>
      <c r="S61" s="437"/>
      <c r="T61" s="437"/>
      <c r="U61" s="437"/>
      <c r="V61" s="437"/>
      <c r="W61" s="437">
        <v>7</v>
      </c>
      <c r="X61" s="437"/>
      <c r="Y61" s="437"/>
      <c r="Z61" s="437"/>
      <c r="AA61" s="437"/>
      <c r="AB61" s="437">
        <v>12</v>
      </c>
      <c r="AC61" s="437"/>
      <c r="AD61" s="437"/>
      <c r="AE61" s="437"/>
      <c r="AF61" s="437"/>
      <c r="AG61" s="437">
        <v>3</v>
      </c>
      <c r="AH61" s="437"/>
      <c r="AI61" s="437"/>
      <c r="AJ61" s="437"/>
      <c r="AK61" s="437"/>
      <c r="AL61" s="437">
        <v>3</v>
      </c>
      <c r="AM61" s="437"/>
      <c r="AN61" s="437"/>
      <c r="AO61" s="437"/>
      <c r="AP61" s="437"/>
      <c r="AQ61" s="437">
        <v>0</v>
      </c>
      <c r="AR61" s="437"/>
      <c r="AS61" s="437"/>
      <c r="AT61" s="437"/>
      <c r="AU61" s="437"/>
      <c r="AV61" s="437">
        <v>15</v>
      </c>
      <c r="AW61" s="437"/>
      <c r="AX61" s="437"/>
      <c r="AY61" s="437"/>
      <c r="AZ61" s="437"/>
      <c r="BA61" s="437">
        <v>4</v>
      </c>
      <c r="BB61" s="437"/>
      <c r="BC61" s="437"/>
      <c r="BD61" s="437"/>
      <c r="BE61" s="437"/>
      <c r="BF61" s="437">
        <v>11</v>
      </c>
      <c r="BG61" s="437"/>
      <c r="BH61" s="437"/>
      <c r="BI61" s="437"/>
      <c r="BJ61" s="437"/>
    </row>
    <row r="62" spans="18:62" ht="9" customHeight="1">
      <c r="R62" s="148"/>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row>
    <row r="63" spans="4:62" s="30" customFormat="1" ht="10.5" customHeight="1">
      <c r="D63" s="441" t="s">
        <v>372</v>
      </c>
      <c r="E63" s="441"/>
      <c r="F63" s="441"/>
      <c r="G63" s="441"/>
      <c r="H63" s="441"/>
      <c r="I63" s="441"/>
      <c r="J63" s="441"/>
      <c r="K63" s="441"/>
      <c r="L63" s="441"/>
      <c r="M63" s="441"/>
      <c r="N63" s="441"/>
      <c r="O63" s="441"/>
      <c r="P63" s="441"/>
      <c r="R63" s="442">
        <v>7521</v>
      </c>
      <c r="S63" s="440"/>
      <c r="T63" s="440"/>
      <c r="U63" s="440"/>
      <c r="V63" s="440"/>
      <c r="W63" s="440">
        <v>842</v>
      </c>
      <c r="X63" s="440"/>
      <c r="Y63" s="440"/>
      <c r="Z63" s="440"/>
      <c r="AA63" s="440"/>
      <c r="AB63" s="440">
        <v>6658</v>
      </c>
      <c r="AC63" s="440"/>
      <c r="AD63" s="440"/>
      <c r="AE63" s="440"/>
      <c r="AF63" s="440"/>
      <c r="AG63" s="440">
        <v>1939</v>
      </c>
      <c r="AH63" s="440"/>
      <c r="AI63" s="440"/>
      <c r="AJ63" s="440"/>
      <c r="AK63" s="440"/>
      <c r="AL63" s="440">
        <v>678</v>
      </c>
      <c r="AM63" s="440"/>
      <c r="AN63" s="440"/>
      <c r="AO63" s="440"/>
      <c r="AP63" s="440"/>
      <c r="AQ63" s="440">
        <v>1259</v>
      </c>
      <c r="AR63" s="440"/>
      <c r="AS63" s="440"/>
      <c r="AT63" s="440"/>
      <c r="AU63" s="440"/>
      <c r="AV63" s="440">
        <v>4498</v>
      </c>
      <c r="AW63" s="440"/>
      <c r="AX63" s="440"/>
      <c r="AY63" s="440"/>
      <c r="AZ63" s="440"/>
      <c r="BA63" s="440">
        <v>156</v>
      </c>
      <c r="BB63" s="440"/>
      <c r="BC63" s="440"/>
      <c r="BD63" s="440"/>
      <c r="BE63" s="440"/>
      <c r="BF63" s="440">
        <v>4341</v>
      </c>
      <c r="BG63" s="440"/>
      <c r="BH63" s="440"/>
      <c r="BI63" s="440"/>
      <c r="BJ63" s="440"/>
    </row>
    <row r="64" spans="6:62" ht="10.5" customHeight="1">
      <c r="F64" s="438" t="s">
        <v>366</v>
      </c>
      <c r="G64" s="438"/>
      <c r="H64" s="438"/>
      <c r="I64" s="438"/>
      <c r="J64" s="438"/>
      <c r="K64" s="438"/>
      <c r="L64" s="438"/>
      <c r="M64" s="438"/>
      <c r="N64" s="438"/>
      <c r="O64" s="438"/>
      <c r="P64" s="438"/>
      <c r="R64" s="439">
        <v>486</v>
      </c>
      <c r="S64" s="437"/>
      <c r="T64" s="437"/>
      <c r="U64" s="437"/>
      <c r="V64" s="437"/>
      <c r="W64" s="437">
        <v>77</v>
      </c>
      <c r="X64" s="437"/>
      <c r="Y64" s="437"/>
      <c r="Z64" s="437"/>
      <c r="AA64" s="437"/>
      <c r="AB64" s="437">
        <v>406</v>
      </c>
      <c r="AC64" s="437"/>
      <c r="AD64" s="437"/>
      <c r="AE64" s="437"/>
      <c r="AF64" s="437"/>
      <c r="AG64" s="437">
        <v>212</v>
      </c>
      <c r="AH64" s="437"/>
      <c r="AI64" s="437"/>
      <c r="AJ64" s="437"/>
      <c r="AK64" s="437"/>
      <c r="AL64" s="437">
        <v>63</v>
      </c>
      <c r="AM64" s="437"/>
      <c r="AN64" s="437"/>
      <c r="AO64" s="437"/>
      <c r="AP64" s="437"/>
      <c r="AQ64" s="437">
        <v>148</v>
      </c>
      <c r="AR64" s="437"/>
      <c r="AS64" s="437"/>
      <c r="AT64" s="437"/>
      <c r="AU64" s="437"/>
      <c r="AV64" s="437">
        <v>198</v>
      </c>
      <c r="AW64" s="437"/>
      <c r="AX64" s="437"/>
      <c r="AY64" s="437"/>
      <c r="AZ64" s="437"/>
      <c r="BA64" s="437">
        <v>13</v>
      </c>
      <c r="BB64" s="437"/>
      <c r="BC64" s="437"/>
      <c r="BD64" s="437"/>
      <c r="BE64" s="437"/>
      <c r="BF64" s="437">
        <v>185</v>
      </c>
      <c r="BG64" s="437"/>
      <c r="BH64" s="437"/>
      <c r="BI64" s="437"/>
      <c r="BJ64" s="437"/>
    </row>
    <row r="65" spans="6:62" ht="10.5" customHeight="1">
      <c r="F65" s="443" t="s">
        <v>367</v>
      </c>
      <c r="G65" s="438"/>
      <c r="H65" s="438"/>
      <c r="I65" s="438"/>
      <c r="J65" s="438"/>
      <c r="K65" s="438"/>
      <c r="L65" s="438"/>
      <c r="M65" s="438"/>
      <c r="N65" s="438"/>
      <c r="O65" s="438"/>
      <c r="P65" s="438"/>
      <c r="R65" s="439">
        <v>3065</v>
      </c>
      <c r="S65" s="437"/>
      <c r="T65" s="437"/>
      <c r="U65" s="437"/>
      <c r="V65" s="437"/>
      <c r="W65" s="437">
        <v>407</v>
      </c>
      <c r="X65" s="437"/>
      <c r="Y65" s="437"/>
      <c r="Z65" s="437"/>
      <c r="AA65" s="437"/>
      <c r="AB65" s="437">
        <v>2652</v>
      </c>
      <c r="AC65" s="437"/>
      <c r="AD65" s="437"/>
      <c r="AE65" s="437"/>
      <c r="AF65" s="437"/>
      <c r="AG65" s="437">
        <v>940</v>
      </c>
      <c r="AH65" s="437"/>
      <c r="AI65" s="437"/>
      <c r="AJ65" s="437"/>
      <c r="AK65" s="437"/>
      <c r="AL65" s="437">
        <v>337</v>
      </c>
      <c r="AM65" s="437"/>
      <c r="AN65" s="437"/>
      <c r="AO65" s="437"/>
      <c r="AP65" s="437"/>
      <c r="AQ65" s="437">
        <v>603</v>
      </c>
      <c r="AR65" s="437"/>
      <c r="AS65" s="437"/>
      <c r="AT65" s="437"/>
      <c r="AU65" s="437"/>
      <c r="AV65" s="437">
        <v>1662</v>
      </c>
      <c r="AW65" s="437"/>
      <c r="AX65" s="437"/>
      <c r="AY65" s="437"/>
      <c r="AZ65" s="437"/>
      <c r="BA65" s="437">
        <v>67</v>
      </c>
      <c r="BB65" s="437"/>
      <c r="BC65" s="437"/>
      <c r="BD65" s="437"/>
      <c r="BE65" s="437"/>
      <c r="BF65" s="437">
        <v>1595</v>
      </c>
      <c r="BG65" s="437"/>
      <c r="BH65" s="437"/>
      <c r="BI65" s="437"/>
      <c r="BJ65" s="437"/>
    </row>
    <row r="66" spans="6:62" ht="10.5" customHeight="1">
      <c r="F66" s="443" t="s">
        <v>368</v>
      </c>
      <c r="G66" s="438"/>
      <c r="H66" s="438"/>
      <c r="I66" s="438"/>
      <c r="J66" s="438"/>
      <c r="K66" s="438"/>
      <c r="L66" s="438"/>
      <c r="M66" s="438"/>
      <c r="N66" s="438"/>
      <c r="O66" s="438"/>
      <c r="P66" s="438"/>
      <c r="R66" s="439">
        <v>3221</v>
      </c>
      <c r="S66" s="437"/>
      <c r="T66" s="437"/>
      <c r="U66" s="437"/>
      <c r="V66" s="437"/>
      <c r="W66" s="437">
        <v>299</v>
      </c>
      <c r="X66" s="437"/>
      <c r="Y66" s="437"/>
      <c r="Z66" s="437"/>
      <c r="AA66" s="437"/>
      <c r="AB66" s="437">
        <v>2911</v>
      </c>
      <c r="AC66" s="437"/>
      <c r="AD66" s="437"/>
      <c r="AE66" s="437"/>
      <c r="AF66" s="437"/>
      <c r="AG66" s="437">
        <v>651</v>
      </c>
      <c r="AH66" s="437"/>
      <c r="AI66" s="437"/>
      <c r="AJ66" s="437"/>
      <c r="AK66" s="437"/>
      <c r="AL66" s="437">
        <v>231</v>
      </c>
      <c r="AM66" s="437"/>
      <c r="AN66" s="437"/>
      <c r="AO66" s="437"/>
      <c r="AP66" s="437"/>
      <c r="AQ66" s="437">
        <v>419</v>
      </c>
      <c r="AR66" s="437"/>
      <c r="AS66" s="437"/>
      <c r="AT66" s="437"/>
      <c r="AU66" s="437"/>
      <c r="AV66" s="437">
        <v>2117</v>
      </c>
      <c r="AW66" s="437"/>
      <c r="AX66" s="437"/>
      <c r="AY66" s="437"/>
      <c r="AZ66" s="437"/>
      <c r="BA66" s="437">
        <v>65</v>
      </c>
      <c r="BB66" s="437"/>
      <c r="BC66" s="437"/>
      <c r="BD66" s="437"/>
      <c r="BE66" s="437"/>
      <c r="BF66" s="437">
        <v>2051</v>
      </c>
      <c r="BG66" s="437"/>
      <c r="BH66" s="437"/>
      <c r="BI66" s="437"/>
      <c r="BJ66" s="437"/>
    </row>
    <row r="67" spans="6:62" ht="10.5" customHeight="1">
      <c r="F67" s="443" t="s">
        <v>369</v>
      </c>
      <c r="G67" s="438"/>
      <c r="H67" s="438"/>
      <c r="I67" s="438"/>
      <c r="J67" s="438"/>
      <c r="K67" s="438"/>
      <c r="L67" s="438"/>
      <c r="M67" s="438"/>
      <c r="N67" s="438"/>
      <c r="O67" s="438"/>
      <c r="P67" s="438"/>
      <c r="R67" s="439">
        <v>680</v>
      </c>
      <c r="S67" s="437"/>
      <c r="T67" s="437"/>
      <c r="U67" s="437"/>
      <c r="V67" s="437"/>
      <c r="W67" s="437">
        <v>54</v>
      </c>
      <c r="X67" s="437"/>
      <c r="Y67" s="437"/>
      <c r="Z67" s="437"/>
      <c r="AA67" s="437"/>
      <c r="AB67" s="437">
        <v>625</v>
      </c>
      <c r="AC67" s="437"/>
      <c r="AD67" s="437"/>
      <c r="AE67" s="437"/>
      <c r="AF67" s="437"/>
      <c r="AG67" s="437">
        <v>125</v>
      </c>
      <c r="AH67" s="437"/>
      <c r="AI67" s="437"/>
      <c r="AJ67" s="437"/>
      <c r="AK67" s="437"/>
      <c r="AL67" s="437">
        <v>46</v>
      </c>
      <c r="AM67" s="437"/>
      <c r="AN67" s="437"/>
      <c r="AO67" s="437"/>
      <c r="AP67" s="437"/>
      <c r="AQ67" s="437">
        <v>79</v>
      </c>
      <c r="AR67" s="437"/>
      <c r="AS67" s="437"/>
      <c r="AT67" s="437"/>
      <c r="AU67" s="437"/>
      <c r="AV67" s="437">
        <v>469</v>
      </c>
      <c r="AW67" s="437"/>
      <c r="AX67" s="437"/>
      <c r="AY67" s="437"/>
      <c r="AZ67" s="437"/>
      <c r="BA67" s="437">
        <v>8</v>
      </c>
      <c r="BB67" s="437"/>
      <c r="BC67" s="437"/>
      <c r="BD67" s="437"/>
      <c r="BE67" s="437"/>
      <c r="BF67" s="437">
        <v>461</v>
      </c>
      <c r="BG67" s="437"/>
      <c r="BH67" s="437"/>
      <c r="BI67" s="437"/>
      <c r="BJ67" s="437"/>
    </row>
    <row r="68" spans="6:62" ht="10.5" customHeight="1">
      <c r="F68" s="443" t="s">
        <v>370</v>
      </c>
      <c r="G68" s="438"/>
      <c r="H68" s="438"/>
      <c r="I68" s="438"/>
      <c r="J68" s="438"/>
      <c r="K68" s="438"/>
      <c r="L68" s="438"/>
      <c r="M68" s="438"/>
      <c r="N68" s="438"/>
      <c r="O68" s="438"/>
      <c r="P68" s="438"/>
      <c r="R68" s="439">
        <v>69</v>
      </c>
      <c r="S68" s="437"/>
      <c r="T68" s="437"/>
      <c r="U68" s="437"/>
      <c r="V68" s="437"/>
      <c r="W68" s="437">
        <v>5</v>
      </c>
      <c r="X68" s="437"/>
      <c r="Y68" s="437"/>
      <c r="Z68" s="437"/>
      <c r="AA68" s="437"/>
      <c r="AB68" s="437">
        <v>64</v>
      </c>
      <c r="AC68" s="437"/>
      <c r="AD68" s="437"/>
      <c r="AE68" s="437"/>
      <c r="AF68" s="437"/>
      <c r="AG68" s="437">
        <v>11</v>
      </c>
      <c r="AH68" s="437"/>
      <c r="AI68" s="437"/>
      <c r="AJ68" s="437"/>
      <c r="AK68" s="437"/>
      <c r="AL68" s="437">
        <v>1</v>
      </c>
      <c r="AM68" s="437"/>
      <c r="AN68" s="437"/>
      <c r="AO68" s="437"/>
      <c r="AP68" s="437"/>
      <c r="AQ68" s="437">
        <v>10</v>
      </c>
      <c r="AR68" s="437"/>
      <c r="AS68" s="437"/>
      <c r="AT68" s="437"/>
      <c r="AU68" s="437"/>
      <c r="AV68" s="437">
        <v>52</v>
      </c>
      <c r="AW68" s="437"/>
      <c r="AX68" s="437"/>
      <c r="AY68" s="437"/>
      <c r="AZ68" s="437"/>
      <c r="BA68" s="437">
        <v>3</v>
      </c>
      <c r="BB68" s="437"/>
      <c r="BC68" s="437"/>
      <c r="BD68" s="437"/>
      <c r="BE68" s="437"/>
      <c r="BF68" s="437">
        <v>49</v>
      </c>
      <c r="BG68" s="437"/>
      <c r="BH68" s="437"/>
      <c r="BI68" s="437"/>
      <c r="BJ68" s="437"/>
    </row>
    <row r="69" spans="18:62" ht="9" customHeight="1">
      <c r="R69" s="148"/>
      <c r="S69" s="119"/>
      <c r="T69" s="119"/>
      <c r="U69" s="119"/>
      <c r="V69" s="119"/>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row>
    <row r="70" spans="4:62" s="30" customFormat="1" ht="10.5" customHeight="1">
      <c r="D70" s="441" t="s">
        <v>373</v>
      </c>
      <c r="E70" s="441"/>
      <c r="F70" s="441"/>
      <c r="G70" s="441"/>
      <c r="H70" s="441"/>
      <c r="I70" s="441"/>
      <c r="J70" s="441"/>
      <c r="K70" s="441"/>
      <c r="L70" s="441"/>
      <c r="M70" s="441"/>
      <c r="N70" s="441"/>
      <c r="O70" s="441"/>
      <c r="P70" s="441"/>
      <c r="R70" s="442">
        <v>6605</v>
      </c>
      <c r="S70" s="440"/>
      <c r="T70" s="440"/>
      <c r="U70" s="440"/>
      <c r="V70" s="440"/>
      <c r="W70" s="440">
        <v>414</v>
      </c>
      <c r="X70" s="440"/>
      <c r="Y70" s="440"/>
      <c r="Z70" s="440"/>
      <c r="AA70" s="440"/>
      <c r="AB70" s="440">
        <v>6169</v>
      </c>
      <c r="AC70" s="440"/>
      <c r="AD70" s="440"/>
      <c r="AE70" s="440"/>
      <c r="AF70" s="440"/>
      <c r="AG70" s="440">
        <v>973</v>
      </c>
      <c r="AH70" s="440"/>
      <c r="AI70" s="440"/>
      <c r="AJ70" s="440"/>
      <c r="AK70" s="440"/>
      <c r="AL70" s="440">
        <v>344</v>
      </c>
      <c r="AM70" s="440"/>
      <c r="AN70" s="440"/>
      <c r="AO70" s="440"/>
      <c r="AP70" s="440"/>
      <c r="AQ70" s="440">
        <v>627</v>
      </c>
      <c r="AR70" s="440"/>
      <c r="AS70" s="440"/>
      <c r="AT70" s="440"/>
      <c r="AU70" s="440"/>
      <c r="AV70" s="440">
        <v>4660</v>
      </c>
      <c r="AW70" s="440"/>
      <c r="AX70" s="440"/>
      <c r="AY70" s="440"/>
      <c r="AZ70" s="440"/>
      <c r="BA70" s="440">
        <v>69</v>
      </c>
      <c r="BB70" s="440"/>
      <c r="BC70" s="440"/>
      <c r="BD70" s="440"/>
      <c r="BE70" s="440"/>
      <c r="BF70" s="440">
        <v>4588</v>
      </c>
      <c r="BG70" s="440"/>
      <c r="BH70" s="440"/>
      <c r="BI70" s="440"/>
      <c r="BJ70" s="440"/>
    </row>
    <row r="71" spans="6:62" ht="10.5" customHeight="1">
      <c r="F71" s="438" t="s">
        <v>366</v>
      </c>
      <c r="G71" s="438"/>
      <c r="H71" s="438"/>
      <c r="I71" s="438"/>
      <c r="J71" s="438"/>
      <c r="K71" s="438"/>
      <c r="L71" s="438"/>
      <c r="M71" s="438"/>
      <c r="N71" s="438"/>
      <c r="O71" s="438"/>
      <c r="P71" s="438"/>
      <c r="R71" s="439">
        <v>101</v>
      </c>
      <c r="S71" s="437"/>
      <c r="T71" s="437"/>
      <c r="U71" s="437"/>
      <c r="V71" s="437"/>
      <c r="W71" s="437">
        <v>13</v>
      </c>
      <c r="X71" s="437"/>
      <c r="Y71" s="437"/>
      <c r="Z71" s="437"/>
      <c r="AA71" s="437"/>
      <c r="AB71" s="437">
        <v>87</v>
      </c>
      <c r="AC71" s="437"/>
      <c r="AD71" s="437"/>
      <c r="AE71" s="437"/>
      <c r="AF71" s="437"/>
      <c r="AG71" s="437">
        <v>45</v>
      </c>
      <c r="AH71" s="437"/>
      <c r="AI71" s="437"/>
      <c r="AJ71" s="437"/>
      <c r="AK71" s="437"/>
      <c r="AL71" s="437">
        <v>12</v>
      </c>
      <c r="AM71" s="437"/>
      <c r="AN71" s="437"/>
      <c r="AO71" s="437"/>
      <c r="AP71" s="437"/>
      <c r="AQ71" s="437">
        <v>32</v>
      </c>
      <c r="AR71" s="437"/>
      <c r="AS71" s="437"/>
      <c r="AT71" s="437"/>
      <c r="AU71" s="437"/>
      <c r="AV71" s="437">
        <v>47</v>
      </c>
      <c r="AW71" s="437"/>
      <c r="AX71" s="437"/>
      <c r="AY71" s="437"/>
      <c r="AZ71" s="437"/>
      <c r="BA71" s="437">
        <v>1</v>
      </c>
      <c r="BB71" s="437"/>
      <c r="BC71" s="437"/>
      <c r="BD71" s="437"/>
      <c r="BE71" s="437"/>
      <c r="BF71" s="437">
        <v>46</v>
      </c>
      <c r="BG71" s="437"/>
      <c r="BH71" s="437"/>
      <c r="BI71" s="437"/>
      <c r="BJ71" s="437"/>
    </row>
    <row r="72" spans="6:62" ht="10.5" customHeight="1">
      <c r="F72" s="443" t="s">
        <v>367</v>
      </c>
      <c r="G72" s="438"/>
      <c r="H72" s="438"/>
      <c r="I72" s="438"/>
      <c r="J72" s="438"/>
      <c r="K72" s="438"/>
      <c r="L72" s="438"/>
      <c r="M72" s="438"/>
      <c r="N72" s="438"/>
      <c r="O72" s="438"/>
      <c r="P72" s="438"/>
      <c r="R72" s="439">
        <v>449</v>
      </c>
      <c r="S72" s="437"/>
      <c r="T72" s="437"/>
      <c r="U72" s="437"/>
      <c r="V72" s="437"/>
      <c r="W72" s="437">
        <v>38</v>
      </c>
      <c r="X72" s="437"/>
      <c r="Y72" s="437"/>
      <c r="Z72" s="437"/>
      <c r="AA72" s="437"/>
      <c r="AB72" s="437">
        <v>409</v>
      </c>
      <c r="AC72" s="437"/>
      <c r="AD72" s="437"/>
      <c r="AE72" s="437"/>
      <c r="AF72" s="437"/>
      <c r="AG72" s="437">
        <v>120</v>
      </c>
      <c r="AH72" s="437"/>
      <c r="AI72" s="437"/>
      <c r="AJ72" s="437"/>
      <c r="AK72" s="437"/>
      <c r="AL72" s="437">
        <v>35</v>
      </c>
      <c r="AM72" s="437"/>
      <c r="AN72" s="437"/>
      <c r="AO72" s="437"/>
      <c r="AP72" s="437"/>
      <c r="AQ72" s="437">
        <v>85</v>
      </c>
      <c r="AR72" s="437"/>
      <c r="AS72" s="437"/>
      <c r="AT72" s="437"/>
      <c r="AU72" s="437"/>
      <c r="AV72" s="437">
        <v>259</v>
      </c>
      <c r="AW72" s="437"/>
      <c r="AX72" s="437"/>
      <c r="AY72" s="437"/>
      <c r="AZ72" s="437"/>
      <c r="BA72" s="437">
        <v>3</v>
      </c>
      <c r="BB72" s="437"/>
      <c r="BC72" s="437"/>
      <c r="BD72" s="437"/>
      <c r="BE72" s="437"/>
      <c r="BF72" s="437">
        <v>256</v>
      </c>
      <c r="BG72" s="437"/>
      <c r="BH72" s="437"/>
      <c r="BI72" s="437"/>
      <c r="BJ72" s="437"/>
    </row>
    <row r="73" spans="6:62" ht="10.5" customHeight="1">
      <c r="F73" s="443" t="s">
        <v>368</v>
      </c>
      <c r="G73" s="438"/>
      <c r="H73" s="438"/>
      <c r="I73" s="438"/>
      <c r="J73" s="438"/>
      <c r="K73" s="438"/>
      <c r="L73" s="438"/>
      <c r="M73" s="438"/>
      <c r="N73" s="438"/>
      <c r="O73" s="438"/>
      <c r="P73" s="438"/>
      <c r="R73" s="439">
        <v>2105</v>
      </c>
      <c r="S73" s="437"/>
      <c r="T73" s="437"/>
      <c r="U73" s="437"/>
      <c r="V73" s="437"/>
      <c r="W73" s="437">
        <v>175</v>
      </c>
      <c r="X73" s="437"/>
      <c r="Y73" s="437"/>
      <c r="Z73" s="437"/>
      <c r="AA73" s="437"/>
      <c r="AB73" s="437">
        <v>1923</v>
      </c>
      <c r="AC73" s="437"/>
      <c r="AD73" s="437"/>
      <c r="AE73" s="437"/>
      <c r="AF73" s="437"/>
      <c r="AG73" s="437">
        <v>361</v>
      </c>
      <c r="AH73" s="437"/>
      <c r="AI73" s="437"/>
      <c r="AJ73" s="437"/>
      <c r="AK73" s="437"/>
      <c r="AL73" s="437">
        <v>149</v>
      </c>
      <c r="AM73" s="437"/>
      <c r="AN73" s="437"/>
      <c r="AO73" s="437"/>
      <c r="AP73" s="437"/>
      <c r="AQ73" s="437">
        <v>212</v>
      </c>
      <c r="AR73" s="437"/>
      <c r="AS73" s="437"/>
      <c r="AT73" s="437"/>
      <c r="AU73" s="437"/>
      <c r="AV73" s="437">
        <v>1423</v>
      </c>
      <c r="AW73" s="437"/>
      <c r="AX73" s="437"/>
      <c r="AY73" s="437"/>
      <c r="AZ73" s="437"/>
      <c r="BA73" s="437">
        <v>26</v>
      </c>
      <c r="BB73" s="437"/>
      <c r="BC73" s="437"/>
      <c r="BD73" s="437"/>
      <c r="BE73" s="437"/>
      <c r="BF73" s="437">
        <v>1396</v>
      </c>
      <c r="BG73" s="437"/>
      <c r="BH73" s="437"/>
      <c r="BI73" s="437"/>
      <c r="BJ73" s="437"/>
    </row>
    <row r="74" spans="6:62" ht="10.5" customHeight="1">
      <c r="F74" s="443" t="s">
        <v>369</v>
      </c>
      <c r="G74" s="438"/>
      <c r="H74" s="438"/>
      <c r="I74" s="438"/>
      <c r="J74" s="438"/>
      <c r="K74" s="438"/>
      <c r="L74" s="438"/>
      <c r="M74" s="438"/>
      <c r="N74" s="438"/>
      <c r="O74" s="438"/>
      <c r="P74" s="438"/>
      <c r="R74" s="439">
        <v>2475</v>
      </c>
      <c r="S74" s="437"/>
      <c r="T74" s="437"/>
      <c r="U74" s="437"/>
      <c r="V74" s="437"/>
      <c r="W74" s="437">
        <v>132</v>
      </c>
      <c r="X74" s="437"/>
      <c r="Y74" s="437"/>
      <c r="Z74" s="437"/>
      <c r="AA74" s="437"/>
      <c r="AB74" s="437">
        <v>2336</v>
      </c>
      <c r="AC74" s="437"/>
      <c r="AD74" s="437"/>
      <c r="AE74" s="437"/>
      <c r="AF74" s="437"/>
      <c r="AG74" s="437">
        <v>325</v>
      </c>
      <c r="AH74" s="437"/>
      <c r="AI74" s="437"/>
      <c r="AJ74" s="437"/>
      <c r="AK74" s="437"/>
      <c r="AL74" s="437">
        <v>100</v>
      </c>
      <c r="AM74" s="437"/>
      <c r="AN74" s="437"/>
      <c r="AO74" s="437"/>
      <c r="AP74" s="437"/>
      <c r="AQ74" s="437">
        <v>224</v>
      </c>
      <c r="AR74" s="437"/>
      <c r="AS74" s="437"/>
      <c r="AT74" s="437"/>
      <c r="AU74" s="437"/>
      <c r="AV74" s="437">
        <v>1786</v>
      </c>
      <c r="AW74" s="437"/>
      <c r="AX74" s="437"/>
      <c r="AY74" s="437"/>
      <c r="AZ74" s="437"/>
      <c r="BA74" s="437">
        <v>31</v>
      </c>
      <c r="BB74" s="437"/>
      <c r="BC74" s="437"/>
      <c r="BD74" s="437"/>
      <c r="BE74" s="437"/>
      <c r="BF74" s="437">
        <v>1753</v>
      </c>
      <c r="BG74" s="437"/>
      <c r="BH74" s="437"/>
      <c r="BI74" s="437"/>
      <c r="BJ74" s="437"/>
    </row>
    <row r="75" spans="6:62" ht="10.5" customHeight="1">
      <c r="F75" s="443" t="s">
        <v>370</v>
      </c>
      <c r="G75" s="438"/>
      <c r="H75" s="438"/>
      <c r="I75" s="438"/>
      <c r="J75" s="438"/>
      <c r="K75" s="438"/>
      <c r="L75" s="438"/>
      <c r="M75" s="438"/>
      <c r="N75" s="438"/>
      <c r="O75" s="438"/>
      <c r="P75" s="438"/>
      <c r="R75" s="439">
        <v>1475</v>
      </c>
      <c r="S75" s="437"/>
      <c r="T75" s="437"/>
      <c r="U75" s="437"/>
      <c r="V75" s="437"/>
      <c r="W75" s="437">
        <v>56</v>
      </c>
      <c r="X75" s="437"/>
      <c r="Y75" s="437"/>
      <c r="Z75" s="437"/>
      <c r="AA75" s="437"/>
      <c r="AB75" s="437">
        <v>1414</v>
      </c>
      <c r="AC75" s="437"/>
      <c r="AD75" s="437"/>
      <c r="AE75" s="437"/>
      <c r="AF75" s="437"/>
      <c r="AG75" s="437">
        <v>122</v>
      </c>
      <c r="AH75" s="437"/>
      <c r="AI75" s="437"/>
      <c r="AJ75" s="437"/>
      <c r="AK75" s="437"/>
      <c r="AL75" s="437">
        <v>48</v>
      </c>
      <c r="AM75" s="437"/>
      <c r="AN75" s="437"/>
      <c r="AO75" s="437"/>
      <c r="AP75" s="437"/>
      <c r="AQ75" s="437">
        <v>74</v>
      </c>
      <c r="AR75" s="437"/>
      <c r="AS75" s="437"/>
      <c r="AT75" s="437"/>
      <c r="AU75" s="437"/>
      <c r="AV75" s="437">
        <v>1145</v>
      </c>
      <c r="AW75" s="437"/>
      <c r="AX75" s="437"/>
      <c r="AY75" s="437"/>
      <c r="AZ75" s="437"/>
      <c r="BA75" s="437">
        <v>8</v>
      </c>
      <c r="BB75" s="437"/>
      <c r="BC75" s="437"/>
      <c r="BD75" s="437"/>
      <c r="BE75" s="437"/>
      <c r="BF75" s="437">
        <v>1137</v>
      </c>
      <c r="BG75" s="437"/>
      <c r="BH75" s="437"/>
      <c r="BI75" s="437"/>
      <c r="BJ75" s="437"/>
    </row>
    <row r="76" spans="2:62" ht="10.5" customHeight="1">
      <c r="B76" s="32"/>
      <c r="C76" s="32"/>
      <c r="D76" s="32"/>
      <c r="E76" s="32"/>
      <c r="F76" s="32"/>
      <c r="G76" s="32"/>
      <c r="H76" s="32"/>
      <c r="I76" s="32"/>
      <c r="J76" s="32"/>
      <c r="K76" s="32"/>
      <c r="L76" s="32"/>
      <c r="M76" s="32"/>
      <c r="N76" s="32"/>
      <c r="O76" s="32"/>
      <c r="P76" s="32"/>
      <c r="Q76" s="32"/>
      <c r="R76" s="140"/>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3:6" ht="10.5" customHeight="1">
      <c r="C77" s="472" t="s">
        <v>277</v>
      </c>
      <c r="D77" s="472"/>
      <c r="E77" s="25" t="s">
        <v>592</v>
      </c>
      <c r="F77" s="335" t="s">
        <v>474</v>
      </c>
    </row>
    <row r="78" spans="2:6" ht="10.5" customHeight="1">
      <c r="B78" s="473" t="s">
        <v>192</v>
      </c>
      <c r="C78" s="473"/>
      <c r="D78" s="473"/>
      <c r="E78" s="25" t="s">
        <v>591</v>
      </c>
      <c r="F78" s="336" t="s">
        <v>482</v>
      </c>
    </row>
    <row r="79" spans="2:6" ht="10.5" customHeight="1">
      <c r="B79" s="43"/>
      <c r="C79" s="43"/>
      <c r="D79" s="43"/>
      <c r="E79" s="25"/>
      <c r="F79" s="51"/>
    </row>
    <row r="80" spans="3:7" ht="10.5" customHeight="1">
      <c r="C80" s="43"/>
      <c r="D80" s="43"/>
      <c r="E80" s="43"/>
      <c r="F80" s="25"/>
      <c r="G80" s="51"/>
    </row>
    <row r="81" spans="3:7" ht="10.5" customHeight="1">
      <c r="C81" s="43"/>
      <c r="D81" s="43"/>
      <c r="E81" s="43"/>
      <c r="F81" s="25"/>
      <c r="G81" s="51"/>
    </row>
    <row r="82" spans="3:7" ht="10.5" customHeight="1">
      <c r="C82" s="43"/>
      <c r="D82" s="43"/>
      <c r="E82" s="43"/>
      <c r="F82" s="25"/>
      <c r="G82" s="51"/>
    </row>
    <row r="83" spans="3:7" ht="10.5" customHeight="1">
      <c r="C83" s="43"/>
      <c r="D83" s="43"/>
      <c r="E83" s="43"/>
      <c r="F83" s="25"/>
      <c r="G83" s="51"/>
    </row>
    <row r="84" spans="3:7" ht="10.5" customHeight="1">
      <c r="C84" s="43"/>
      <c r="D84" s="43"/>
      <c r="E84" s="43"/>
      <c r="F84" s="25"/>
      <c r="G84" s="51"/>
    </row>
    <row r="85" spans="3:7" ht="10.5" customHeight="1">
      <c r="C85" s="43"/>
      <c r="D85" s="43"/>
      <c r="E85" s="43"/>
      <c r="F85" s="25"/>
      <c r="G85" s="51"/>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397">
    <mergeCell ref="AS5:BA7"/>
    <mergeCell ref="BB5:BJ7"/>
    <mergeCell ref="U9:AB9"/>
    <mergeCell ref="U11:AB11"/>
    <mergeCell ref="AC9:AJ9"/>
    <mergeCell ref="AC11:AJ11"/>
    <mergeCell ref="AK9:AR9"/>
    <mergeCell ref="AK11:AR11"/>
    <mergeCell ref="AS9:BA9"/>
    <mergeCell ref="AS11:BA11"/>
    <mergeCell ref="F74:P74"/>
    <mergeCell ref="BA71:BE71"/>
    <mergeCell ref="BA70:BE70"/>
    <mergeCell ref="AV74:AZ74"/>
    <mergeCell ref="BA73:BE73"/>
    <mergeCell ref="BA72:BE72"/>
    <mergeCell ref="BA74:BE74"/>
    <mergeCell ref="AV71:AZ71"/>
    <mergeCell ref="AL74:AP74"/>
    <mergeCell ref="F73:P73"/>
    <mergeCell ref="BF75:BJ75"/>
    <mergeCell ref="AQ75:AU75"/>
    <mergeCell ref="AV75:AZ75"/>
    <mergeCell ref="F75:P75"/>
    <mergeCell ref="R75:V75"/>
    <mergeCell ref="W75:AA75"/>
    <mergeCell ref="AB75:AF75"/>
    <mergeCell ref="AG75:AK75"/>
    <mergeCell ref="AL75:AP75"/>
    <mergeCell ref="BA75:BE75"/>
    <mergeCell ref="BF72:BJ72"/>
    <mergeCell ref="AQ73:AU73"/>
    <mergeCell ref="AV73:AZ73"/>
    <mergeCell ref="BF73:BJ73"/>
    <mergeCell ref="AQ72:AU72"/>
    <mergeCell ref="AV72:AZ72"/>
    <mergeCell ref="R73:V73"/>
    <mergeCell ref="W73:AA73"/>
    <mergeCell ref="AB73:AF73"/>
    <mergeCell ref="AG73:AK73"/>
    <mergeCell ref="BF74:BJ74"/>
    <mergeCell ref="AQ74:AU74"/>
    <mergeCell ref="R74:V74"/>
    <mergeCell ref="W74:AA74"/>
    <mergeCell ref="AB74:AF74"/>
    <mergeCell ref="AG74:AK74"/>
    <mergeCell ref="AL73:AP73"/>
    <mergeCell ref="BF70:BJ70"/>
    <mergeCell ref="F71:P71"/>
    <mergeCell ref="R71:V71"/>
    <mergeCell ref="W71:AA71"/>
    <mergeCell ref="AB71:AF71"/>
    <mergeCell ref="AG71:AK71"/>
    <mergeCell ref="AL71:AP71"/>
    <mergeCell ref="AQ71:AU71"/>
    <mergeCell ref="BF71:BJ71"/>
    <mergeCell ref="BA68:BE68"/>
    <mergeCell ref="BF68:BJ68"/>
    <mergeCell ref="D70:P70"/>
    <mergeCell ref="R70:V70"/>
    <mergeCell ref="W70:AA70"/>
    <mergeCell ref="AB70:AF70"/>
    <mergeCell ref="AG70:AK70"/>
    <mergeCell ref="AL70:AP70"/>
    <mergeCell ref="AQ70:AU70"/>
    <mergeCell ref="AV70:AZ70"/>
    <mergeCell ref="BA67:BE67"/>
    <mergeCell ref="BF67:BJ67"/>
    <mergeCell ref="F68:P68"/>
    <mergeCell ref="R68:V68"/>
    <mergeCell ref="W68:AA68"/>
    <mergeCell ref="AB68:AF68"/>
    <mergeCell ref="AG68:AK68"/>
    <mergeCell ref="AL68:AP68"/>
    <mergeCell ref="AQ68:AU68"/>
    <mergeCell ref="AV68:AZ68"/>
    <mergeCell ref="BA66:BE66"/>
    <mergeCell ref="BF66:BJ66"/>
    <mergeCell ref="F67:P67"/>
    <mergeCell ref="R67:V67"/>
    <mergeCell ref="W67:AA67"/>
    <mergeCell ref="AB67:AF67"/>
    <mergeCell ref="AG67:AK67"/>
    <mergeCell ref="AL67:AP67"/>
    <mergeCell ref="AQ67:AU67"/>
    <mergeCell ref="AV67:AZ67"/>
    <mergeCell ref="AQ66:AU66"/>
    <mergeCell ref="AV66:AZ66"/>
    <mergeCell ref="F66:P66"/>
    <mergeCell ref="R66:V66"/>
    <mergeCell ref="W66:AA66"/>
    <mergeCell ref="AB66:AF66"/>
    <mergeCell ref="C77:D77"/>
    <mergeCell ref="B78:D78"/>
    <mergeCell ref="AG66:AK66"/>
    <mergeCell ref="AL66:AP66"/>
    <mergeCell ref="F72:P72"/>
    <mergeCell ref="R72:V72"/>
    <mergeCell ref="W72:AA72"/>
    <mergeCell ref="AB72:AF72"/>
    <mergeCell ref="AG72:AK72"/>
    <mergeCell ref="AL72:AP72"/>
    <mergeCell ref="BA65:BE65"/>
    <mergeCell ref="BF65:BJ65"/>
    <mergeCell ref="F65:P65"/>
    <mergeCell ref="R65:V65"/>
    <mergeCell ref="W65:AA65"/>
    <mergeCell ref="AB65:AF65"/>
    <mergeCell ref="AG65:AK65"/>
    <mergeCell ref="AL65:AP65"/>
    <mergeCell ref="AQ65:AU65"/>
    <mergeCell ref="AV65:AZ65"/>
    <mergeCell ref="AK5:AR7"/>
    <mergeCell ref="U13:AB13"/>
    <mergeCell ref="B44:Q44"/>
    <mergeCell ref="R44:V45"/>
    <mergeCell ref="W44:AA45"/>
    <mergeCell ref="AB44:AF45"/>
    <mergeCell ref="U22:AB22"/>
    <mergeCell ref="AC19:AJ19"/>
    <mergeCell ref="AC20:AJ20"/>
    <mergeCell ref="U5:AB7"/>
    <mergeCell ref="AC5:AJ7"/>
    <mergeCell ref="B3:BJ3"/>
    <mergeCell ref="B5:T7"/>
    <mergeCell ref="U16:AB16"/>
    <mergeCell ref="C9:S9"/>
    <mergeCell ref="AS13:BA13"/>
    <mergeCell ref="AS14:BA14"/>
    <mergeCell ref="AS15:BA15"/>
    <mergeCell ref="AS16:BA16"/>
    <mergeCell ref="BB9:BJ9"/>
    <mergeCell ref="U36:AB36"/>
    <mergeCell ref="U17:AB17"/>
    <mergeCell ref="AC13:AJ13"/>
    <mergeCell ref="AC14:AJ14"/>
    <mergeCell ref="AC15:AJ15"/>
    <mergeCell ref="AC16:AJ16"/>
    <mergeCell ref="AC17:AJ17"/>
    <mergeCell ref="U24:AB24"/>
    <mergeCell ref="U26:AB26"/>
    <mergeCell ref="U28:AB28"/>
    <mergeCell ref="U30:AB30"/>
    <mergeCell ref="E14:S14"/>
    <mergeCell ref="D13:S13"/>
    <mergeCell ref="U23:AB23"/>
    <mergeCell ref="U14:AB14"/>
    <mergeCell ref="U15:AB15"/>
    <mergeCell ref="U19:AB19"/>
    <mergeCell ref="U20:AB20"/>
    <mergeCell ref="U21:AB21"/>
    <mergeCell ref="E17:S17"/>
    <mergeCell ref="C11:S11"/>
    <mergeCell ref="E15:S15"/>
    <mergeCell ref="E16:S16"/>
    <mergeCell ref="AK13:AR13"/>
    <mergeCell ref="AK14:AR14"/>
    <mergeCell ref="AK15:AR15"/>
    <mergeCell ref="AK16:AR16"/>
    <mergeCell ref="AC36:AJ36"/>
    <mergeCell ref="AK34:AR34"/>
    <mergeCell ref="AK36:AR36"/>
    <mergeCell ref="AC31:AJ31"/>
    <mergeCell ref="AC32:AJ32"/>
    <mergeCell ref="AK31:AR31"/>
    <mergeCell ref="AS17:BA17"/>
    <mergeCell ref="AS19:BA19"/>
    <mergeCell ref="AS20:BA20"/>
    <mergeCell ref="AS21:BA21"/>
    <mergeCell ref="AS30:BA30"/>
    <mergeCell ref="AC24:AJ24"/>
    <mergeCell ref="AK17:AR17"/>
    <mergeCell ref="AK19:AR19"/>
    <mergeCell ref="AC21:AJ21"/>
    <mergeCell ref="E23:S23"/>
    <mergeCell ref="AC22:AJ22"/>
    <mergeCell ref="AC23:AJ23"/>
    <mergeCell ref="AS23:BA23"/>
    <mergeCell ref="AK28:AR28"/>
    <mergeCell ref="AK30:AR30"/>
    <mergeCell ref="AC26:AJ26"/>
    <mergeCell ref="AC28:AJ28"/>
    <mergeCell ref="AC30:AJ30"/>
    <mergeCell ref="E24:S24"/>
    <mergeCell ref="E20:S20"/>
    <mergeCell ref="E22:S22"/>
    <mergeCell ref="E21:S21"/>
    <mergeCell ref="AS28:BA28"/>
    <mergeCell ref="AK20:AR20"/>
    <mergeCell ref="AK21:AR21"/>
    <mergeCell ref="AK22:AR22"/>
    <mergeCell ref="AK23:AR23"/>
    <mergeCell ref="AK24:AR24"/>
    <mergeCell ref="AK26:AR26"/>
    <mergeCell ref="D19:S19"/>
    <mergeCell ref="AS31:BA31"/>
    <mergeCell ref="AS22:BA22"/>
    <mergeCell ref="BB11:BJ11"/>
    <mergeCell ref="BB13:BJ13"/>
    <mergeCell ref="BB14:BJ14"/>
    <mergeCell ref="BB15:BJ15"/>
    <mergeCell ref="BB16:BJ16"/>
    <mergeCell ref="BB17:BJ17"/>
    <mergeCell ref="BB19:BJ19"/>
    <mergeCell ref="BB20:BJ20"/>
    <mergeCell ref="BB21:BJ21"/>
    <mergeCell ref="BB22:BJ22"/>
    <mergeCell ref="BB23:BJ23"/>
    <mergeCell ref="BB36:BJ36"/>
    <mergeCell ref="AS24:BA24"/>
    <mergeCell ref="BB32:BJ32"/>
    <mergeCell ref="BB34:BJ34"/>
    <mergeCell ref="BB24:BJ24"/>
    <mergeCell ref="BB26:BJ26"/>
    <mergeCell ref="BB28:BJ28"/>
    <mergeCell ref="BB30:BJ30"/>
    <mergeCell ref="AS26:BA26"/>
    <mergeCell ref="AS36:BA36"/>
    <mergeCell ref="E25:S25"/>
    <mergeCell ref="E26:S26"/>
    <mergeCell ref="E29:S29"/>
    <mergeCell ref="E27:S27"/>
    <mergeCell ref="E28:S28"/>
    <mergeCell ref="E30:S30"/>
    <mergeCell ref="E32:S32"/>
    <mergeCell ref="C34:S34"/>
    <mergeCell ref="BB31:BJ31"/>
    <mergeCell ref="AS32:BA32"/>
    <mergeCell ref="AS34:BA34"/>
    <mergeCell ref="AC34:AJ34"/>
    <mergeCell ref="U31:AB31"/>
    <mergeCell ref="U32:AB32"/>
    <mergeCell ref="U34:AB34"/>
    <mergeCell ref="AK32:AR32"/>
    <mergeCell ref="D49:P49"/>
    <mergeCell ref="R49:V49"/>
    <mergeCell ref="W49:AA49"/>
    <mergeCell ref="AB49:AF49"/>
    <mergeCell ref="AV47:AZ47"/>
    <mergeCell ref="C47:P47"/>
    <mergeCell ref="R47:V47"/>
    <mergeCell ref="W47:AA47"/>
    <mergeCell ref="AB47:AF47"/>
    <mergeCell ref="AG47:AK47"/>
    <mergeCell ref="AQ47:AU47"/>
    <mergeCell ref="AL47:AP47"/>
    <mergeCell ref="BF49:BJ49"/>
    <mergeCell ref="BA47:BE47"/>
    <mergeCell ref="BA44:BE45"/>
    <mergeCell ref="BF47:BJ47"/>
    <mergeCell ref="BF44:BJ45"/>
    <mergeCell ref="R50:V50"/>
    <mergeCell ref="W50:AA50"/>
    <mergeCell ref="AB50:AF50"/>
    <mergeCell ref="BA49:BE49"/>
    <mergeCell ref="AG49:AK49"/>
    <mergeCell ref="AL49:AP49"/>
    <mergeCell ref="AQ49:AU49"/>
    <mergeCell ref="AV49:AZ49"/>
    <mergeCell ref="B41:BJ41"/>
    <mergeCell ref="R43:AF43"/>
    <mergeCell ref="AG43:AU43"/>
    <mergeCell ref="AG44:AK45"/>
    <mergeCell ref="AL44:AP45"/>
    <mergeCell ref="AV43:BJ43"/>
    <mergeCell ref="AV44:AZ45"/>
    <mergeCell ref="AQ44:AU45"/>
    <mergeCell ref="AQ51:AU51"/>
    <mergeCell ref="AV51:AZ51"/>
    <mergeCell ref="BA50:BE50"/>
    <mergeCell ref="C36:S36"/>
    <mergeCell ref="B38:D38"/>
    <mergeCell ref="AG50:AK50"/>
    <mergeCell ref="AL50:AP50"/>
    <mergeCell ref="AQ50:AU50"/>
    <mergeCell ref="AV50:AZ50"/>
    <mergeCell ref="F50:P50"/>
    <mergeCell ref="F51:P51"/>
    <mergeCell ref="R51:V51"/>
    <mergeCell ref="BA52:BE52"/>
    <mergeCell ref="BF52:BJ52"/>
    <mergeCell ref="BA51:BE51"/>
    <mergeCell ref="BF51:BJ51"/>
    <mergeCell ref="W51:AA51"/>
    <mergeCell ref="AB51:AF51"/>
    <mergeCell ref="AG51:AK51"/>
    <mergeCell ref="AL51:AP51"/>
    <mergeCell ref="BF50:BJ50"/>
    <mergeCell ref="E31:S31"/>
    <mergeCell ref="F52:P52"/>
    <mergeCell ref="R52:V52"/>
    <mergeCell ref="W52:AA52"/>
    <mergeCell ref="AB52:AF52"/>
    <mergeCell ref="AG52:AK52"/>
    <mergeCell ref="AL52:AP52"/>
    <mergeCell ref="AQ52:AU52"/>
    <mergeCell ref="AV52:AZ52"/>
    <mergeCell ref="AG53:AK53"/>
    <mergeCell ref="AL53:AP53"/>
    <mergeCell ref="BA53:BE53"/>
    <mergeCell ref="BF53:BJ53"/>
    <mergeCell ref="AQ53:AU53"/>
    <mergeCell ref="AV53:AZ53"/>
    <mergeCell ref="F53:P53"/>
    <mergeCell ref="R53:V53"/>
    <mergeCell ref="F54:P54"/>
    <mergeCell ref="R54:V54"/>
    <mergeCell ref="W54:AA54"/>
    <mergeCell ref="AB54:AF54"/>
    <mergeCell ref="W53:AA53"/>
    <mergeCell ref="AB53:AF53"/>
    <mergeCell ref="D56:P56"/>
    <mergeCell ref="R56:V56"/>
    <mergeCell ref="W56:AA56"/>
    <mergeCell ref="AB56:AF56"/>
    <mergeCell ref="AQ54:AU54"/>
    <mergeCell ref="AV54:AZ54"/>
    <mergeCell ref="AQ56:AU56"/>
    <mergeCell ref="AV56:AZ56"/>
    <mergeCell ref="AG54:AK54"/>
    <mergeCell ref="AL54:AP54"/>
    <mergeCell ref="W57:AA57"/>
    <mergeCell ref="AB57:AF57"/>
    <mergeCell ref="BA54:BE54"/>
    <mergeCell ref="BF54:BJ54"/>
    <mergeCell ref="BA57:BE57"/>
    <mergeCell ref="BF57:BJ57"/>
    <mergeCell ref="BA56:BE56"/>
    <mergeCell ref="BF56:BJ56"/>
    <mergeCell ref="AG56:AK56"/>
    <mergeCell ref="AL56:AP56"/>
    <mergeCell ref="AG57:AK57"/>
    <mergeCell ref="AL57:AP57"/>
    <mergeCell ref="F58:P58"/>
    <mergeCell ref="R58:V58"/>
    <mergeCell ref="W58:AA58"/>
    <mergeCell ref="AB58:AF58"/>
    <mergeCell ref="AG58:AK58"/>
    <mergeCell ref="AL58:AP58"/>
    <mergeCell ref="F57:P57"/>
    <mergeCell ref="R57:V57"/>
    <mergeCell ref="AQ57:AU57"/>
    <mergeCell ref="AV57:AZ57"/>
    <mergeCell ref="F59:P59"/>
    <mergeCell ref="R59:V59"/>
    <mergeCell ref="W59:AA59"/>
    <mergeCell ref="AB59:AF59"/>
    <mergeCell ref="AG59:AK59"/>
    <mergeCell ref="AL59:AP59"/>
    <mergeCell ref="AQ58:AU58"/>
    <mergeCell ref="AV58:AZ58"/>
    <mergeCell ref="AQ59:AU59"/>
    <mergeCell ref="AV59:AZ59"/>
    <mergeCell ref="BA58:BE58"/>
    <mergeCell ref="BF58:BJ58"/>
    <mergeCell ref="BA60:BE60"/>
    <mergeCell ref="BF60:BJ60"/>
    <mergeCell ref="F60:P60"/>
    <mergeCell ref="R60:V60"/>
    <mergeCell ref="W60:AA60"/>
    <mergeCell ref="AB60:AF60"/>
    <mergeCell ref="AG60:AK60"/>
    <mergeCell ref="AL60:AP60"/>
    <mergeCell ref="F61:P61"/>
    <mergeCell ref="R61:V61"/>
    <mergeCell ref="BA59:BE59"/>
    <mergeCell ref="BF59:BJ59"/>
    <mergeCell ref="W61:AA61"/>
    <mergeCell ref="AB61:AF61"/>
    <mergeCell ref="AG61:AK61"/>
    <mergeCell ref="AL61:AP61"/>
    <mergeCell ref="AQ60:AU60"/>
    <mergeCell ref="AV60:AZ60"/>
    <mergeCell ref="D63:P63"/>
    <mergeCell ref="R63:V63"/>
    <mergeCell ref="W63:AA63"/>
    <mergeCell ref="AB63:AF63"/>
    <mergeCell ref="AG63:AK63"/>
    <mergeCell ref="AL63:AP63"/>
    <mergeCell ref="AQ61:AU61"/>
    <mergeCell ref="AV61:AZ61"/>
    <mergeCell ref="AQ63:AU63"/>
    <mergeCell ref="AV63:AZ63"/>
    <mergeCell ref="BA61:BE61"/>
    <mergeCell ref="BF61:BJ61"/>
    <mergeCell ref="BA63:BE63"/>
    <mergeCell ref="BF63:BJ63"/>
    <mergeCell ref="BA64:BE64"/>
    <mergeCell ref="BF64:BJ64"/>
    <mergeCell ref="AQ64:AU64"/>
    <mergeCell ref="AV64:AZ64"/>
    <mergeCell ref="F64:P64"/>
    <mergeCell ref="R64:V64"/>
    <mergeCell ref="W64:AA64"/>
    <mergeCell ref="AB64:AF64"/>
    <mergeCell ref="AG64:AK64"/>
    <mergeCell ref="AL64:AP64"/>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B3" sqref="B3:T3"/>
    </sheetView>
  </sheetViews>
  <sheetFormatPr defaultColWidth="9.00390625" defaultRowHeight="13.5"/>
  <cols>
    <col min="1" max="11" width="1.625" style="27" customWidth="1"/>
    <col min="12" max="16" width="9.125" style="27" customWidth="1"/>
    <col min="17" max="17" width="9.125" style="85" customWidth="1"/>
    <col min="18" max="18" width="9.125" style="79" customWidth="1"/>
    <col min="19" max="19" width="9.125" style="89" customWidth="1"/>
    <col min="20" max="20" width="9.125" style="27" customWidth="1"/>
    <col min="21" max="21" width="1.625" style="27" customWidth="1"/>
    <col min="22" max="22" width="9.00390625" style="27" customWidth="1"/>
    <col min="23" max="24" width="6.625" style="27" customWidth="1"/>
    <col min="25" max="16384" width="9.00390625" style="27" customWidth="1"/>
  </cols>
  <sheetData>
    <row r="1" spans="2:21" ht="10.5" customHeight="1">
      <c r="B1" s="2"/>
      <c r="C1" s="37"/>
      <c r="D1" s="70"/>
      <c r="E1" s="70"/>
      <c r="F1" s="70"/>
      <c r="G1" s="70"/>
      <c r="H1" s="70"/>
      <c r="I1" s="70"/>
      <c r="J1" s="70"/>
      <c r="K1" s="70"/>
      <c r="L1" s="70"/>
      <c r="M1" s="70"/>
      <c r="N1" s="70"/>
      <c r="O1" s="70"/>
      <c r="P1" s="70"/>
      <c r="U1" s="330" t="s">
        <v>489</v>
      </c>
    </row>
    <row r="2" spans="6:8" ht="10.5" customHeight="1">
      <c r="F2" s="70"/>
      <c r="G2" s="70"/>
      <c r="H2" s="70"/>
    </row>
    <row r="3" spans="2:21" s="38" customFormat="1" ht="18" customHeight="1">
      <c r="B3" s="445" t="s">
        <v>404</v>
      </c>
      <c r="C3" s="445"/>
      <c r="D3" s="445"/>
      <c r="E3" s="445"/>
      <c r="F3" s="445"/>
      <c r="G3" s="445"/>
      <c r="H3" s="445"/>
      <c r="I3" s="445"/>
      <c r="J3" s="445"/>
      <c r="K3" s="445"/>
      <c r="L3" s="445"/>
      <c r="M3" s="445"/>
      <c r="N3" s="445"/>
      <c r="O3" s="445"/>
      <c r="P3" s="445"/>
      <c r="Q3" s="445"/>
      <c r="R3" s="445"/>
      <c r="S3" s="445"/>
      <c r="T3" s="445"/>
      <c r="U3" s="57"/>
    </row>
    <row r="4" spans="2:21" ht="12.75" customHeight="1">
      <c r="B4" s="29"/>
      <c r="C4" s="29"/>
      <c r="D4" s="29"/>
      <c r="E4" s="29"/>
      <c r="F4" s="29"/>
      <c r="G4" s="29"/>
      <c r="H4" s="29"/>
      <c r="I4" s="29"/>
      <c r="J4" s="29"/>
      <c r="K4" s="29"/>
      <c r="L4" s="29"/>
      <c r="M4" s="29"/>
      <c r="N4" s="29"/>
      <c r="O4" s="29"/>
      <c r="P4" s="29"/>
      <c r="Q4" s="154"/>
      <c r="R4" s="155"/>
      <c r="S4" s="156"/>
      <c r="T4" s="1" t="s">
        <v>483</v>
      </c>
      <c r="U4" s="29"/>
    </row>
    <row r="5" spans="2:21" ht="13.5" customHeight="1">
      <c r="B5" s="475" t="s">
        <v>284</v>
      </c>
      <c r="C5" s="476"/>
      <c r="D5" s="476"/>
      <c r="E5" s="476"/>
      <c r="F5" s="476"/>
      <c r="G5" s="476"/>
      <c r="H5" s="476"/>
      <c r="I5" s="476"/>
      <c r="J5" s="476"/>
      <c r="K5" s="477"/>
      <c r="L5" s="476" t="s">
        <v>379</v>
      </c>
      <c r="M5" s="476" t="s">
        <v>506</v>
      </c>
      <c r="N5" s="476"/>
      <c r="O5" s="476"/>
      <c r="P5" s="181" t="s">
        <v>179</v>
      </c>
      <c r="Q5" s="181" t="s">
        <v>348</v>
      </c>
      <c r="R5" s="476" t="s">
        <v>507</v>
      </c>
      <c r="S5" s="476"/>
      <c r="T5" s="183" t="s">
        <v>500</v>
      </c>
      <c r="U5" s="83"/>
    </row>
    <row r="6" spans="2:26" ht="13.5" customHeight="1">
      <c r="B6" s="478"/>
      <c r="C6" s="479"/>
      <c r="D6" s="479"/>
      <c r="E6" s="479"/>
      <c r="F6" s="479"/>
      <c r="G6" s="479"/>
      <c r="H6" s="479"/>
      <c r="I6" s="479"/>
      <c r="J6" s="479"/>
      <c r="K6" s="480"/>
      <c r="L6" s="479"/>
      <c r="M6" s="145" t="s">
        <v>363</v>
      </c>
      <c r="N6" s="145" t="s">
        <v>349</v>
      </c>
      <c r="O6" s="145" t="s">
        <v>350</v>
      </c>
      <c r="P6" s="182" t="s">
        <v>184</v>
      </c>
      <c r="Q6" s="182" t="s">
        <v>508</v>
      </c>
      <c r="R6" s="157" t="s">
        <v>509</v>
      </c>
      <c r="S6" s="158" t="s">
        <v>510</v>
      </c>
      <c r="T6" s="184" t="s">
        <v>511</v>
      </c>
      <c r="U6" s="28"/>
      <c r="W6" s="474" t="s">
        <v>351</v>
      </c>
      <c r="X6" s="474"/>
      <c r="Y6" s="474"/>
      <c r="Z6" s="474"/>
    </row>
    <row r="7" spans="2:19" ht="10.5" customHeight="1">
      <c r="B7" s="29"/>
      <c r="C7" s="29"/>
      <c r="D7" s="29"/>
      <c r="E7" s="29"/>
      <c r="F7" s="29"/>
      <c r="G7" s="29"/>
      <c r="H7" s="29"/>
      <c r="I7" s="29"/>
      <c r="J7" s="29"/>
      <c r="K7" s="304"/>
      <c r="L7" s="142"/>
      <c r="M7" s="29"/>
      <c r="N7" s="29"/>
      <c r="O7" s="29"/>
      <c r="P7" s="29"/>
      <c r="Q7" s="154"/>
      <c r="R7" s="155"/>
      <c r="S7" s="202" t="s">
        <v>512</v>
      </c>
    </row>
    <row r="8" spans="2:26" ht="6" customHeight="1">
      <c r="B8" s="29"/>
      <c r="C8" s="29"/>
      <c r="D8" s="29"/>
      <c r="E8" s="29"/>
      <c r="F8" s="29"/>
      <c r="G8" s="29"/>
      <c r="H8" s="29"/>
      <c r="I8" s="29"/>
      <c r="J8" s="29"/>
      <c r="K8" s="149"/>
      <c r="L8" s="29"/>
      <c r="M8" s="29"/>
      <c r="N8" s="29"/>
      <c r="O8" s="29"/>
      <c r="P8" s="29"/>
      <c r="Q8" s="154"/>
      <c r="R8" s="155"/>
      <c r="S8" s="156"/>
      <c r="V8" s="84"/>
      <c r="W8" s="84"/>
      <c r="X8" s="84"/>
      <c r="Y8" s="84"/>
      <c r="Z8" s="29"/>
    </row>
    <row r="9" spans="2:26" s="30" customFormat="1" ht="10.5" customHeight="1">
      <c r="B9" s="31"/>
      <c r="C9" s="481" t="s">
        <v>181</v>
      </c>
      <c r="D9" s="481"/>
      <c r="E9" s="481"/>
      <c r="F9" s="481"/>
      <c r="G9" s="481"/>
      <c r="H9" s="481"/>
      <c r="I9" s="481"/>
      <c r="J9" s="481"/>
      <c r="K9" s="299"/>
      <c r="L9" s="109">
        <v>312212</v>
      </c>
      <c r="M9" s="109">
        <v>692339</v>
      </c>
      <c r="N9" s="109">
        <v>342567</v>
      </c>
      <c r="O9" s="109">
        <v>349772</v>
      </c>
      <c r="P9" s="107">
        <f>SUM(M9/Z9)</f>
        <v>14375.809800664452</v>
      </c>
      <c r="Q9" s="116">
        <f>SUM(M9/L9)</f>
        <v>2.2175284742418615</v>
      </c>
      <c r="R9" s="92">
        <f>SUM(M9-T9)</f>
        <v>34207</v>
      </c>
      <c r="S9" s="93">
        <f>ROUND((R9/T9)*100,2)</f>
        <v>5.2</v>
      </c>
      <c r="T9" s="109">
        <v>658132</v>
      </c>
      <c r="U9" s="81"/>
      <c r="W9" s="481" t="s">
        <v>181</v>
      </c>
      <c r="X9" s="481"/>
      <c r="Y9" s="110">
        <v>48.16</v>
      </c>
      <c r="Z9" s="303">
        <f>ROUND(Y9,2)</f>
        <v>48.16</v>
      </c>
    </row>
    <row r="10" spans="2:26" ht="6" customHeight="1">
      <c r="B10" s="29"/>
      <c r="C10" s="59"/>
      <c r="D10" s="59"/>
      <c r="E10" s="59"/>
      <c r="F10" s="59"/>
      <c r="G10" s="59"/>
      <c r="H10" s="59"/>
      <c r="I10" s="59"/>
      <c r="J10" s="59"/>
      <c r="K10" s="305"/>
      <c r="L10" s="104"/>
      <c r="M10" s="104"/>
      <c r="N10" s="104"/>
      <c r="O10" s="104"/>
      <c r="P10" s="108"/>
      <c r="Q10" s="117"/>
      <c r="R10" s="87"/>
      <c r="S10" s="90"/>
      <c r="T10" s="104"/>
      <c r="U10" s="52"/>
      <c r="W10" s="59"/>
      <c r="X10" s="59"/>
      <c r="Y10" s="84"/>
      <c r="Z10" s="302"/>
    </row>
    <row r="11" spans="2:26" s="30" customFormat="1" ht="10.5" customHeight="1">
      <c r="B11" s="31"/>
      <c r="C11" s="481" t="s">
        <v>288</v>
      </c>
      <c r="D11" s="481"/>
      <c r="E11" s="481"/>
      <c r="F11" s="481"/>
      <c r="G11" s="481"/>
      <c r="H11" s="481"/>
      <c r="I11" s="481"/>
      <c r="J11" s="481"/>
      <c r="K11" s="299"/>
      <c r="L11" s="109">
        <v>4511</v>
      </c>
      <c r="M11" s="109">
        <v>7592</v>
      </c>
      <c r="N11" s="109">
        <v>3859</v>
      </c>
      <c r="O11" s="109">
        <v>3733</v>
      </c>
      <c r="P11" s="107">
        <f>SUM(M11/Z11)</f>
        <v>18517.07317073171</v>
      </c>
      <c r="Q11" s="116">
        <f>ROUND(M11/L11,2)</f>
        <v>1.68</v>
      </c>
      <c r="R11" s="92">
        <f>SUM(M11-T11)</f>
        <v>181</v>
      </c>
      <c r="S11" s="93">
        <f>ROUND((R11/T11)*100,2)</f>
        <v>2.44</v>
      </c>
      <c r="T11" s="109">
        <v>7411</v>
      </c>
      <c r="U11" s="81"/>
      <c r="W11" s="481" t="s">
        <v>288</v>
      </c>
      <c r="X11" s="481"/>
      <c r="Y11" s="110">
        <f>SUM(Y12:Y13)</f>
        <v>0.41200000000000003</v>
      </c>
      <c r="Z11" s="303">
        <f>ROUND(Y11,2)</f>
        <v>0.41</v>
      </c>
    </row>
    <row r="12" spans="2:26" ht="10.5" customHeight="1">
      <c r="B12" s="29"/>
      <c r="C12" s="59"/>
      <c r="D12" s="59"/>
      <c r="E12" s="59"/>
      <c r="F12" s="59"/>
      <c r="G12" s="482" t="s">
        <v>289</v>
      </c>
      <c r="H12" s="482"/>
      <c r="I12" s="482"/>
      <c r="J12" s="482"/>
      <c r="K12" s="305"/>
      <c r="L12" s="104">
        <v>3103</v>
      </c>
      <c r="M12" s="104">
        <v>5005</v>
      </c>
      <c r="N12" s="104">
        <v>2594</v>
      </c>
      <c r="O12" s="104">
        <v>2411</v>
      </c>
      <c r="P12" s="108">
        <f>SUM(M12/Z12)</f>
        <v>22750</v>
      </c>
      <c r="Q12" s="117">
        <f>ROUND(M12/L12,2)</f>
        <v>1.61</v>
      </c>
      <c r="R12" s="87">
        <f>SUM(M12-T12)</f>
        <v>129</v>
      </c>
      <c r="S12" s="90">
        <f>ROUND((R12/T12)*100,2)</f>
        <v>2.65</v>
      </c>
      <c r="T12" s="104">
        <v>4876</v>
      </c>
      <c r="U12" s="52"/>
      <c r="W12" s="59"/>
      <c r="X12" s="82" t="s">
        <v>289</v>
      </c>
      <c r="Y12" s="111">
        <v>0.219</v>
      </c>
      <c r="Z12" s="48">
        <f>ROUND(Y12,2)</f>
        <v>0.22</v>
      </c>
    </row>
    <row r="13" spans="2:26" ht="10.5" customHeight="1">
      <c r="B13" s="29"/>
      <c r="C13" s="59"/>
      <c r="D13" s="59"/>
      <c r="E13" s="59"/>
      <c r="F13" s="59"/>
      <c r="G13" s="482" t="s">
        <v>290</v>
      </c>
      <c r="H13" s="482"/>
      <c r="I13" s="482"/>
      <c r="J13" s="482"/>
      <c r="K13" s="305"/>
      <c r="L13" s="104">
        <v>1408</v>
      </c>
      <c r="M13" s="104">
        <v>2587</v>
      </c>
      <c r="N13" s="104">
        <v>1265</v>
      </c>
      <c r="O13" s="104">
        <v>1322</v>
      </c>
      <c r="P13" s="108">
        <f>SUM(M13/Z13)</f>
        <v>13615.78947368421</v>
      </c>
      <c r="Q13" s="117">
        <f>ROUND(M13/L13,2)</f>
        <v>1.84</v>
      </c>
      <c r="R13" s="87">
        <f>SUM(M13-T13)</f>
        <v>52</v>
      </c>
      <c r="S13" s="90">
        <f>ROUND((R13/T13)*100,2)</f>
        <v>2.05</v>
      </c>
      <c r="T13" s="104">
        <v>2535</v>
      </c>
      <c r="U13" s="52"/>
      <c r="W13" s="59"/>
      <c r="X13" s="82" t="s">
        <v>290</v>
      </c>
      <c r="Y13" s="111">
        <v>0.193</v>
      </c>
      <c r="Z13" s="48">
        <f>ROUND(Y13,2)</f>
        <v>0.19</v>
      </c>
    </row>
    <row r="14" spans="2:26" ht="6" customHeight="1">
      <c r="B14" s="29"/>
      <c r="C14" s="59"/>
      <c r="D14" s="59"/>
      <c r="E14" s="59"/>
      <c r="F14" s="59"/>
      <c r="G14" s="59"/>
      <c r="H14" s="59"/>
      <c r="I14" s="59"/>
      <c r="J14" s="59"/>
      <c r="K14" s="305"/>
      <c r="L14" s="104"/>
      <c r="M14" s="104"/>
      <c r="N14" s="104"/>
      <c r="O14" s="104"/>
      <c r="P14" s="108"/>
      <c r="Q14" s="117"/>
      <c r="R14" s="87"/>
      <c r="S14" s="90"/>
      <c r="T14" s="104"/>
      <c r="U14" s="52"/>
      <c r="W14" s="59"/>
      <c r="X14" s="59"/>
      <c r="Y14" s="111"/>
      <c r="Z14" s="48"/>
    </row>
    <row r="15" spans="2:26" s="30" customFormat="1" ht="10.5" customHeight="1">
      <c r="B15" s="31"/>
      <c r="C15" s="481" t="s">
        <v>291</v>
      </c>
      <c r="D15" s="481"/>
      <c r="E15" s="481"/>
      <c r="F15" s="481"/>
      <c r="G15" s="481"/>
      <c r="H15" s="481"/>
      <c r="I15" s="481"/>
      <c r="J15" s="481"/>
      <c r="K15" s="299"/>
      <c r="L15" s="109">
        <v>4853</v>
      </c>
      <c r="M15" s="109">
        <v>8729</v>
      </c>
      <c r="N15" s="109">
        <v>4062</v>
      </c>
      <c r="O15" s="109">
        <v>4667</v>
      </c>
      <c r="P15" s="107">
        <f>SUM(M15/Z15)</f>
        <v>16786.53846153846</v>
      </c>
      <c r="Q15" s="116">
        <f>ROUND(M15/L15,2)</f>
        <v>1.8</v>
      </c>
      <c r="R15" s="92">
        <f>SUM(M15-T15)</f>
        <v>234</v>
      </c>
      <c r="S15" s="93">
        <f>ROUND((R15/T15)*100,2)</f>
        <v>2.75</v>
      </c>
      <c r="T15" s="109">
        <v>8495</v>
      </c>
      <c r="U15" s="80"/>
      <c r="W15" s="481" t="s">
        <v>291</v>
      </c>
      <c r="X15" s="481"/>
      <c r="Y15" s="110">
        <f>SUM(Y16:Y17)</f>
        <v>0.518</v>
      </c>
      <c r="Z15" s="303">
        <f>ROUND(Y15,2)</f>
        <v>0.52</v>
      </c>
    </row>
    <row r="16" spans="2:26" ht="10.5" customHeight="1">
      <c r="B16" s="29"/>
      <c r="C16" s="59"/>
      <c r="D16" s="59"/>
      <c r="E16" s="59"/>
      <c r="F16" s="59"/>
      <c r="G16" s="482" t="s">
        <v>289</v>
      </c>
      <c r="H16" s="482"/>
      <c r="I16" s="482"/>
      <c r="J16" s="482"/>
      <c r="K16" s="305"/>
      <c r="L16" s="104">
        <v>2839</v>
      </c>
      <c r="M16" s="104">
        <v>4925</v>
      </c>
      <c r="N16" s="104">
        <v>2370</v>
      </c>
      <c r="O16" s="104">
        <v>2555</v>
      </c>
      <c r="P16" s="108">
        <f>SUM(M16/Z16)</f>
        <v>19700</v>
      </c>
      <c r="Q16" s="117">
        <f>ROUND(M16/L16,2)</f>
        <v>1.73</v>
      </c>
      <c r="R16" s="87">
        <f>SUM(M16-T16)</f>
        <v>66</v>
      </c>
      <c r="S16" s="90">
        <f>ROUND((R16/T16)*100,2)</f>
        <v>1.36</v>
      </c>
      <c r="T16" s="104">
        <v>4859</v>
      </c>
      <c r="U16" s="52"/>
      <c r="W16" s="59"/>
      <c r="X16" s="82" t="s">
        <v>289</v>
      </c>
      <c r="Y16" s="111">
        <v>0.248</v>
      </c>
      <c r="Z16" s="48">
        <f>ROUND(Y16,2)</f>
        <v>0.25</v>
      </c>
    </row>
    <row r="17" spans="2:26" ht="10.5" customHeight="1">
      <c r="B17" s="29"/>
      <c r="C17" s="59"/>
      <c r="D17" s="59"/>
      <c r="E17" s="59"/>
      <c r="F17" s="59"/>
      <c r="G17" s="482" t="s">
        <v>290</v>
      </c>
      <c r="H17" s="482"/>
      <c r="I17" s="482"/>
      <c r="J17" s="482"/>
      <c r="K17" s="305"/>
      <c r="L17" s="104">
        <v>2014</v>
      </c>
      <c r="M17" s="104">
        <v>3804</v>
      </c>
      <c r="N17" s="104">
        <v>1692</v>
      </c>
      <c r="O17" s="104">
        <v>2112</v>
      </c>
      <c r="P17" s="108">
        <f>SUM(M17/Z17)</f>
        <v>14088.888888888889</v>
      </c>
      <c r="Q17" s="117">
        <f>ROUND(M17/L17,2)</f>
        <v>1.89</v>
      </c>
      <c r="R17" s="87">
        <f>SUM(M17-T17)</f>
        <v>168</v>
      </c>
      <c r="S17" s="90">
        <f>ROUND((R17/T17)*100,2)</f>
        <v>4.62</v>
      </c>
      <c r="T17" s="104">
        <v>3636</v>
      </c>
      <c r="U17" s="52"/>
      <c r="W17" s="59"/>
      <c r="X17" s="82" t="s">
        <v>290</v>
      </c>
      <c r="Y17" s="111">
        <v>0.27</v>
      </c>
      <c r="Z17" s="48">
        <f>ROUND(Y17,2)</f>
        <v>0.27</v>
      </c>
    </row>
    <row r="18" spans="2:26" ht="6" customHeight="1">
      <c r="B18" s="29"/>
      <c r="C18" s="59"/>
      <c r="D18" s="59"/>
      <c r="E18" s="59"/>
      <c r="F18" s="59"/>
      <c r="G18" s="59"/>
      <c r="H18" s="59"/>
      <c r="I18" s="59"/>
      <c r="J18" s="59"/>
      <c r="K18" s="305"/>
      <c r="L18" s="104"/>
      <c r="M18" s="104"/>
      <c r="N18" s="104"/>
      <c r="O18" s="104"/>
      <c r="P18" s="108"/>
      <c r="Q18" s="117"/>
      <c r="R18" s="87"/>
      <c r="S18" s="90"/>
      <c r="T18" s="104"/>
      <c r="U18" s="52"/>
      <c r="W18" s="59"/>
      <c r="X18" s="59"/>
      <c r="Y18" s="111"/>
      <c r="Z18" s="48"/>
    </row>
    <row r="19" spans="2:26" s="30" customFormat="1" ht="10.5" customHeight="1">
      <c r="B19" s="31"/>
      <c r="C19" s="481" t="s">
        <v>292</v>
      </c>
      <c r="D19" s="481"/>
      <c r="E19" s="481"/>
      <c r="F19" s="481"/>
      <c r="G19" s="481"/>
      <c r="H19" s="481"/>
      <c r="I19" s="481"/>
      <c r="J19" s="481"/>
      <c r="K19" s="299"/>
      <c r="L19" s="109">
        <v>2256</v>
      </c>
      <c r="M19" s="109">
        <v>3735</v>
      </c>
      <c r="N19" s="109">
        <v>1800</v>
      </c>
      <c r="O19" s="109">
        <v>1935</v>
      </c>
      <c r="P19" s="107">
        <f>SUM(M19/Z19)</f>
        <v>21970.588235294115</v>
      </c>
      <c r="Q19" s="116">
        <f>ROUND(M19/L19,2)</f>
        <v>1.66</v>
      </c>
      <c r="R19" s="92">
        <f>SUM(M19-T19)</f>
        <v>345</v>
      </c>
      <c r="S19" s="93">
        <f>ROUND((R19/T19)*100,2)</f>
        <v>10.18</v>
      </c>
      <c r="T19" s="109">
        <v>3390</v>
      </c>
      <c r="U19" s="81"/>
      <c r="W19" s="481" t="s">
        <v>292</v>
      </c>
      <c r="X19" s="481"/>
      <c r="Y19" s="110">
        <v>0.167</v>
      </c>
      <c r="Z19" s="303">
        <f>ROUND(Y19,2)</f>
        <v>0.17</v>
      </c>
    </row>
    <row r="20" spans="2:26" ht="6" customHeight="1">
      <c r="B20" s="29"/>
      <c r="C20" s="59"/>
      <c r="D20" s="59"/>
      <c r="E20" s="59"/>
      <c r="F20" s="59"/>
      <c r="G20" s="59"/>
      <c r="H20" s="59"/>
      <c r="I20" s="59"/>
      <c r="J20" s="59"/>
      <c r="K20" s="305"/>
      <c r="L20" s="104"/>
      <c r="M20" s="104"/>
      <c r="N20" s="104"/>
      <c r="O20" s="104"/>
      <c r="P20" s="108"/>
      <c r="Q20" s="117"/>
      <c r="R20" s="87"/>
      <c r="S20" s="90"/>
      <c r="T20" s="104"/>
      <c r="U20" s="52"/>
      <c r="W20" s="59"/>
      <c r="X20" s="59"/>
      <c r="Y20" s="111"/>
      <c r="Z20" s="48"/>
    </row>
    <row r="21" spans="2:26" s="30" customFormat="1" ht="10.5" customHeight="1">
      <c r="B21" s="31"/>
      <c r="C21" s="481" t="s">
        <v>293</v>
      </c>
      <c r="D21" s="481"/>
      <c r="E21" s="481"/>
      <c r="F21" s="481"/>
      <c r="G21" s="481"/>
      <c r="H21" s="481"/>
      <c r="I21" s="481"/>
      <c r="J21" s="481"/>
      <c r="K21" s="299"/>
      <c r="L21" s="109">
        <v>3413</v>
      </c>
      <c r="M21" s="109">
        <v>6628</v>
      </c>
      <c r="N21" s="109">
        <v>3283</v>
      </c>
      <c r="O21" s="109">
        <v>3345</v>
      </c>
      <c r="P21" s="107">
        <f>SUM(M21/Z21)</f>
        <v>14102.12765957447</v>
      </c>
      <c r="Q21" s="116">
        <f>ROUND(M21/L21,2)</f>
        <v>1.94</v>
      </c>
      <c r="R21" s="92">
        <f>SUM(M21-T21)</f>
        <v>439</v>
      </c>
      <c r="S21" s="93">
        <f>ROUND((R21/T21)*100,2)</f>
        <v>7.09</v>
      </c>
      <c r="T21" s="109">
        <v>6189</v>
      </c>
      <c r="U21" s="80"/>
      <c r="W21" s="481" t="s">
        <v>293</v>
      </c>
      <c r="X21" s="481"/>
      <c r="Y21" s="110">
        <f>SUM(Y22:Y24)</f>
        <v>0.46599999999999997</v>
      </c>
      <c r="Z21" s="303">
        <f>ROUND(Y21,2)</f>
        <v>0.47</v>
      </c>
    </row>
    <row r="22" spans="2:26" ht="10.5" customHeight="1">
      <c r="B22" s="29"/>
      <c r="C22" s="59"/>
      <c r="D22" s="59"/>
      <c r="E22" s="59"/>
      <c r="F22" s="59"/>
      <c r="G22" s="482" t="s">
        <v>289</v>
      </c>
      <c r="H22" s="482"/>
      <c r="I22" s="482"/>
      <c r="J22" s="482"/>
      <c r="K22" s="305"/>
      <c r="L22" s="104">
        <v>907</v>
      </c>
      <c r="M22" s="104">
        <v>1503</v>
      </c>
      <c r="N22" s="104">
        <v>725</v>
      </c>
      <c r="O22" s="104">
        <v>778</v>
      </c>
      <c r="P22" s="108">
        <f>SUM(M22/Z22)</f>
        <v>21471.42857142857</v>
      </c>
      <c r="Q22" s="117">
        <f>ROUND(M22/L22,2)</f>
        <v>1.66</v>
      </c>
      <c r="R22" s="87">
        <f>SUM(M22-T22)</f>
        <v>89</v>
      </c>
      <c r="S22" s="90">
        <f>ROUND((R22/T22)*100,2)</f>
        <v>6.29</v>
      </c>
      <c r="T22" s="104">
        <v>1414</v>
      </c>
      <c r="U22" s="52"/>
      <c r="W22" s="59"/>
      <c r="X22" s="82" t="s">
        <v>289</v>
      </c>
      <c r="Y22" s="111">
        <v>0.071</v>
      </c>
      <c r="Z22" s="48">
        <f>ROUND(Y22,2)</f>
        <v>0.07</v>
      </c>
    </row>
    <row r="23" spans="2:26" ht="10.5" customHeight="1">
      <c r="B23" s="29"/>
      <c r="C23" s="59"/>
      <c r="D23" s="59"/>
      <c r="E23" s="59"/>
      <c r="F23" s="59"/>
      <c r="G23" s="482" t="s">
        <v>290</v>
      </c>
      <c r="H23" s="482"/>
      <c r="I23" s="482"/>
      <c r="J23" s="482"/>
      <c r="K23" s="305"/>
      <c r="L23" s="104">
        <v>1582</v>
      </c>
      <c r="M23" s="104">
        <v>3283</v>
      </c>
      <c r="N23" s="104">
        <v>1616</v>
      </c>
      <c r="O23" s="104">
        <v>1667</v>
      </c>
      <c r="P23" s="108">
        <f>SUM(M23/Z23)</f>
        <v>14273.91304347826</v>
      </c>
      <c r="Q23" s="117">
        <f>ROUND(M23/L23,2)</f>
        <v>2.08</v>
      </c>
      <c r="R23" s="87">
        <f>SUM(M23-T23)</f>
        <v>280</v>
      </c>
      <c r="S23" s="90">
        <f>ROUND((R23/T23)*100,2)</f>
        <v>9.32</v>
      </c>
      <c r="T23" s="104">
        <v>3003</v>
      </c>
      <c r="U23" s="52"/>
      <c r="W23" s="59"/>
      <c r="X23" s="82" t="s">
        <v>290</v>
      </c>
      <c r="Y23" s="111">
        <v>0.23</v>
      </c>
      <c r="Z23" s="48">
        <f>ROUND(Y23,2)</f>
        <v>0.23</v>
      </c>
    </row>
    <row r="24" spans="2:26" ht="10.5" customHeight="1">
      <c r="B24" s="29"/>
      <c r="C24" s="59"/>
      <c r="D24" s="59"/>
      <c r="E24" s="59"/>
      <c r="F24" s="59"/>
      <c r="G24" s="482" t="s">
        <v>294</v>
      </c>
      <c r="H24" s="482"/>
      <c r="I24" s="482"/>
      <c r="J24" s="482"/>
      <c r="K24" s="305"/>
      <c r="L24" s="104">
        <v>924</v>
      </c>
      <c r="M24" s="104">
        <v>1842</v>
      </c>
      <c r="N24" s="104">
        <v>942</v>
      </c>
      <c r="O24" s="104">
        <v>900</v>
      </c>
      <c r="P24" s="108">
        <f>SUM(M24/Z24)</f>
        <v>10835.294117647058</v>
      </c>
      <c r="Q24" s="117">
        <f>ROUND(M24/L24,2)</f>
        <v>1.99</v>
      </c>
      <c r="R24" s="87">
        <f>SUM(M24-T24)</f>
        <v>70</v>
      </c>
      <c r="S24" s="90">
        <f>ROUND((R24/T24)*100,2)</f>
        <v>3.95</v>
      </c>
      <c r="T24" s="104">
        <v>1772</v>
      </c>
      <c r="U24" s="52"/>
      <c r="W24" s="59"/>
      <c r="X24" s="82" t="s">
        <v>294</v>
      </c>
      <c r="Y24" s="111">
        <v>0.165</v>
      </c>
      <c r="Z24" s="48">
        <f>ROUND(Y24,2)</f>
        <v>0.17</v>
      </c>
    </row>
    <row r="25" spans="2:26" ht="6" customHeight="1">
      <c r="B25" s="29"/>
      <c r="C25" s="59"/>
      <c r="D25" s="59"/>
      <c r="E25" s="59"/>
      <c r="F25" s="59"/>
      <c r="G25" s="59"/>
      <c r="H25" s="59"/>
      <c r="I25" s="59"/>
      <c r="J25" s="59"/>
      <c r="K25" s="305"/>
      <c r="L25" s="104"/>
      <c r="M25" s="104"/>
      <c r="N25" s="104"/>
      <c r="O25" s="104"/>
      <c r="P25" s="108"/>
      <c r="Q25" s="117"/>
      <c r="R25" s="87"/>
      <c r="S25" s="90"/>
      <c r="T25" s="104"/>
      <c r="U25" s="52"/>
      <c r="W25" s="59"/>
      <c r="X25" s="59"/>
      <c r="Y25" s="111"/>
      <c r="Z25" s="302"/>
    </row>
    <row r="26" spans="2:26" s="30" customFormat="1" ht="10.5" customHeight="1">
      <c r="B26" s="31"/>
      <c r="C26" s="481" t="s">
        <v>295</v>
      </c>
      <c r="D26" s="481"/>
      <c r="E26" s="481"/>
      <c r="F26" s="481"/>
      <c r="G26" s="481"/>
      <c r="H26" s="481"/>
      <c r="I26" s="481"/>
      <c r="J26" s="481"/>
      <c r="K26" s="299"/>
      <c r="L26" s="109">
        <v>3575</v>
      </c>
      <c r="M26" s="109">
        <v>5821</v>
      </c>
      <c r="N26" s="109">
        <v>2827</v>
      </c>
      <c r="O26" s="109">
        <v>2994</v>
      </c>
      <c r="P26" s="107">
        <f>SUM(M26/Z26)</f>
        <v>18777.41935483871</v>
      </c>
      <c r="Q26" s="116">
        <f>ROUND(M26/L26,2)</f>
        <v>1.63</v>
      </c>
      <c r="R26" s="92">
        <f>SUM(M26-T26)</f>
        <v>242</v>
      </c>
      <c r="S26" s="93">
        <f>ROUND((R26/T26)*100,2)</f>
        <v>4.34</v>
      </c>
      <c r="T26" s="109">
        <v>5579</v>
      </c>
      <c r="U26" s="80"/>
      <c r="W26" s="481" t="s">
        <v>295</v>
      </c>
      <c r="X26" s="481"/>
      <c r="Y26" s="110">
        <f>SUM(Y27:Y28)</f>
        <v>0.313</v>
      </c>
      <c r="Z26" s="303">
        <f>ROUND(Y26,2)</f>
        <v>0.31</v>
      </c>
    </row>
    <row r="27" spans="2:26" ht="10.5" customHeight="1">
      <c r="B27" s="29"/>
      <c r="C27" s="59"/>
      <c r="D27" s="59"/>
      <c r="E27" s="59"/>
      <c r="F27" s="59"/>
      <c r="G27" s="482" t="s">
        <v>289</v>
      </c>
      <c r="H27" s="482"/>
      <c r="I27" s="482"/>
      <c r="J27" s="482"/>
      <c r="K27" s="305"/>
      <c r="L27" s="104">
        <v>1285</v>
      </c>
      <c r="M27" s="104">
        <v>2040</v>
      </c>
      <c r="N27" s="104">
        <v>1005</v>
      </c>
      <c r="O27" s="104">
        <v>1035</v>
      </c>
      <c r="P27" s="108">
        <f>SUM(M27/Z27)</f>
        <v>11333.333333333334</v>
      </c>
      <c r="Q27" s="117">
        <f>ROUND(M27/L27,2)</f>
        <v>1.59</v>
      </c>
      <c r="R27" s="87">
        <f>SUM(M27-T27)</f>
        <v>-130</v>
      </c>
      <c r="S27" s="90">
        <f>ROUND((R27/T27)*100,2)</f>
        <v>-5.99</v>
      </c>
      <c r="T27" s="104">
        <v>2170</v>
      </c>
      <c r="U27" s="52"/>
      <c r="W27" s="59"/>
      <c r="X27" s="82" t="s">
        <v>289</v>
      </c>
      <c r="Y27" s="111">
        <v>0.175</v>
      </c>
      <c r="Z27" s="48">
        <f>ROUND(Y27,2)</f>
        <v>0.18</v>
      </c>
    </row>
    <row r="28" spans="2:26" ht="10.5" customHeight="1">
      <c r="B28" s="29"/>
      <c r="C28" s="59"/>
      <c r="D28" s="59"/>
      <c r="E28" s="59"/>
      <c r="F28" s="59"/>
      <c r="G28" s="482" t="s">
        <v>290</v>
      </c>
      <c r="H28" s="482"/>
      <c r="I28" s="482"/>
      <c r="J28" s="482"/>
      <c r="K28" s="305"/>
      <c r="L28" s="104">
        <v>2290</v>
      </c>
      <c r="M28" s="104">
        <v>3781</v>
      </c>
      <c r="N28" s="104">
        <v>1822</v>
      </c>
      <c r="O28" s="104">
        <v>1959</v>
      </c>
      <c r="P28" s="108">
        <f>SUM(M28/Z28)</f>
        <v>27007.142857142855</v>
      </c>
      <c r="Q28" s="117">
        <f>ROUND(M28/L28,2)</f>
        <v>1.65</v>
      </c>
      <c r="R28" s="87">
        <f>SUM(M28-T28)</f>
        <v>372</v>
      </c>
      <c r="S28" s="90">
        <f>ROUND((R28/T28)*100,2)</f>
        <v>10.91</v>
      </c>
      <c r="T28" s="104">
        <v>3409</v>
      </c>
      <c r="U28" s="52"/>
      <c r="W28" s="59"/>
      <c r="X28" s="82" t="s">
        <v>290</v>
      </c>
      <c r="Y28" s="111">
        <v>0.138</v>
      </c>
      <c r="Z28" s="48">
        <f>ROUND(Y28,2)</f>
        <v>0.14</v>
      </c>
    </row>
    <row r="29" spans="2:26" ht="6" customHeight="1">
      <c r="B29" s="29"/>
      <c r="C29" s="59"/>
      <c r="D29" s="59"/>
      <c r="E29" s="59"/>
      <c r="F29" s="59"/>
      <c r="G29" s="59"/>
      <c r="H29" s="59"/>
      <c r="I29" s="59"/>
      <c r="J29" s="59"/>
      <c r="K29" s="305"/>
      <c r="L29" s="104"/>
      <c r="M29" s="104"/>
      <c r="N29" s="104"/>
      <c r="O29" s="104"/>
      <c r="P29" s="108"/>
      <c r="Q29" s="117"/>
      <c r="R29" s="87"/>
      <c r="S29" s="90"/>
      <c r="T29" s="104"/>
      <c r="U29" s="52"/>
      <c r="W29" s="59"/>
      <c r="X29" s="59"/>
      <c r="Y29" s="111"/>
      <c r="Z29" s="48"/>
    </row>
    <row r="30" spans="2:26" s="30" customFormat="1" ht="10.5" customHeight="1">
      <c r="B30" s="31"/>
      <c r="C30" s="481" t="s">
        <v>296</v>
      </c>
      <c r="D30" s="481"/>
      <c r="E30" s="481"/>
      <c r="F30" s="481"/>
      <c r="G30" s="481"/>
      <c r="H30" s="481"/>
      <c r="I30" s="481"/>
      <c r="J30" s="481"/>
      <c r="K30" s="299"/>
      <c r="L30" s="109">
        <v>4854</v>
      </c>
      <c r="M30" s="109">
        <v>9495</v>
      </c>
      <c r="N30" s="109">
        <v>4813</v>
      </c>
      <c r="O30" s="109">
        <v>4682</v>
      </c>
      <c r="P30" s="107">
        <f>SUM(M30/Z30)</f>
        <v>17583.333333333332</v>
      </c>
      <c r="Q30" s="116">
        <f>ROUND(M30/L30,2)</f>
        <v>1.96</v>
      </c>
      <c r="R30" s="92">
        <f>SUM(M30-T30)</f>
        <v>432</v>
      </c>
      <c r="S30" s="93">
        <f>ROUND((R30/T30)*100,2)</f>
        <v>4.77</v>
      </c>
      <c r="T30" s="109">
        <v>9063</v>
      </c>
      <c r="U30" s="80"/>
      <c r="W30" s="481" t="s">
        <v>296</v>
      </c>
      <c r="X30" s="481"/>
      <c r="Y30" s="110">
        <f>SUM(Y31:Y34)</f>
        <v>0.54</v>
      </c>
      <c r="Z30" s="303">
        <f>ROUND(Y30,2)</f>
        <v>0.54</v>
      </c>
    </row>
    <row r="31" spans="2:26" ht="10.5" customHeight="1">
      <c r="B31" s="29"/>
      <c r="C31" s="59"/>
      <c r="D31" s="59"/>
      <c r="E31" s="59"/>
      <c r="F31" s="59"/>
      <c r="G31" s="482" t="s">
        <v>289</v>
      </c>
      <c r="H31" s="482"/>
      <c r="I31" s="482"/>
      <c r="J31" s="482"/>
      <c r="K31" s="305"/>
      <c r="L31" s="104">
        <v>1292</v>
      </c>
      <c r="M31" s="104">
        <v>2519</v>
      </c>
      <c r="N31" s="104">
        <v>1295</v>
      </c>
      <c r="O31" s="104">
        <v>1224</v>
      </c>
      <c r="P31" s="108">
        <f>SUM(M31/Z31)</f>
        <v>17992.85714285714</v>
      </c>
      <c r="Q31" s="117">
        <f>ROUND(M31/L31,2)</f>
        <v>1.95</v>
      </c>
      <c r="R31" s="87">
        <f>SUM(M31-T31)</f>
        <v>40</v>
      </c>
      <c r="S31" s="90">
        <f>ROUND((R31/T31)*100,2)</f>
        <v>1.61</v>
      </c>
      <c r="T31" s="104">
        <v>2479</v>
      </c>
      <c r="U31" s="52"/>
      <c r="W31" s="59"/>
      <c r="X31" s="82" t="s">
        <v>289</v>
      </c>
      <c r="Y31" s="111">
        <v>0.135</v>
      </c>
      <c r="Z31" s="48">
        <f>ROUND(Y31,2)</f>
        <v>0.14</v>
      </c>
    </row>
    <row r="32" spans="2:26" ht="10.5" customHeight="1">
      <c r="B32" s="29"/>
      <c r="C32" s="59"/>
      <c r="D32" s="59"/>
      <c r="E32" s="59"/>
      <c r="F32" s="59"/>
      <c r="G32" s="482" t="s">
        <v>290</v>
      </c>
      <c r="H32" s="482"/>
      <c r="I32" s="482"/>
      <c r="J32" s="482"/>
      <c r="K32" s="305"/>
      <c r="L32" s="104">
        <v>1532</v>
      </c>
      <c r="M32" s="104">
        <v>2851</v>
      </c>
      <c r="N32" s="104">
        <v>1439</v>
      </c>
      <c r="O32" s="104">
        <v>1412</v>
      </c>
      <c r="P32" s="108">
        <f>SUM(M32/Z32)</f>
        <v>17818.75</v>
      </c>
      <c r="Q32" s="117">
        <f>ROUND(M32/L32,2)</f>
        <v>1.86</v>
      </c>
      <c r="R32" s="87">
        <f>SUM(M32-T32)</f>
        <v>204</v>
      </c>
      <c r="S32" s="90">
        <f>ROUND((R32/T32)*100,2)</f>
        <v>7.71</v>
      </c>
      <c r="T32" s="104">
        <v>2647</v>
      </c>
      <c r="U32" s="52"/>
      <c r="W32" s="59"/>
      <c r="X32" s="82" t="s">
        <v>290</v>
      </c>
      <c r="Y32" s="111">
        <v>0.155</v>
      </c>
      <c r="Z32" s="48">
        <f>ROUND(Y32,2)</f>
        <v>0.16</v>
      </c>
    </row>
    <row r="33" spans="2:26" ht="10.5" customHeight="1">
      <c r="B33" s="29"/>
      <c r="C33" s="59"/>
      <c r="D33" s="59"/>
      <c r="E33" s="59"/>
      <c r="F33" s="59"/>
      <c r="G33" s="482" t="s">
        <v>294</v>
      </c>
      <c r="H33" s="482"/>
      <c r="I33" s="482"/>
      <c r="J33" s="482"/>
      <c r="K33" s="305"/>
      <c r="L33" s="104">
        <v>1367</v>
      </c>
      <c r="M33" s="104">
        <v>2667</v>
      </c>
      <c r="N33" s="104">
        <v>1351</v>
      </c>
      <c r="O33" s="104">
        <v>1316</v>
      </c>
      <c r="P33" s="108">
        <f>SUM(M33/Z33)</f>
        <v>17780</v>
      </c>
      <c r="Q33" s="117">
        <f>ROUND(M33/L33,2)</f>
        <v>1.95</v>
      </c>
      <c r="R33" s="87">
        <f>SUM(M33-T33)</f>
        <v>-32</v>
      </c>
      <c r="S33" s="90">
        <f>ROUND((R33/T33)*100,2)</f>
        <v>-1.19</v>
      </c>
      <c r="T33" s="104">
        <v>2699</v>
      </c>
      <c r="U33" s="52"/>
      <c r="W33" s="59"/>
      <c r="X33" s="82" t="s">
        <v>294</v>
      </c>
      <c r="Y33" s="111">
        <v>0.147</v>
      </c>
      <c r="Z33" s="48">
        <f>ROUND(Y33,2)</f>
        <v>0.15</v>
      </c>
    </row>
    <row r="34" spans="2:26" ht="10.5" customHeight="1">
      <c r="B34" s="29"/>
      <c r="C34" s="59"/>
      <c r="D34" s="59"/>
      <c r="E34" s="59"/>
      <c r="F34" s="59"/>
      <c r="G34" s="482" t="s">
        <v>297</v>
      </c>
      <c r="H34" s="482"/>
      <c r="I34" s="482"/>
      <c r="J34" s="482"/>
      <c r="K34" s="305"/>
      <c r="L34" s="104">
        <v>663</v>
      </c>
      <c r="M34" s="104">
        <v>1458</v>
      </c>
      <c r="N34" s="104">
        <v>728</v>
      </c>
      <c r="O34" s="104">
        <v>730</v>
      </c>
      <c r="P34" s="108">
        <f>SUM(M34/Z34)</f>
        <v>14580</v>
      </c>
      <c r="Q34" s="117">
        <f>ROUND(M34/L34,2)</f>
        <v>2.2</v>
      </c>
      <c r="R34" s="87">
        <f>SUM(M34-T34)</f>
        <v>220</v>
      </c>
      <c r="S34" s="90">
        <f>ROUND((R34/T34)*100,2)</f>
        <v>17.77</v>
      </c>
      <c r="T34" s="104">
        <v>1238</v>
      </c>
      <c r="U34" s="52"/>
      <c r="W34" s="59"/>
      <c r="X34" s="82" t="s">
        <v>297</v>
      </c>
      <c r="Y34" s="111">
        <v>0.103</v>
      </c>
      <c r="Z34" s="48">
        <f>ROUND(Y34,2)</f>
        <v>0.1</v>
      </c>
    </row>
    <row r="35" spans="2:26" ht="6" customHeight="1">
      <c r="B35" s="29"/>
      <c r="C35" s="59"/>
      <c r="D35" s="59"/>
      <c r="E35" s="59"/>
      <c r="F35" s="59"/>
      <c r="G35" s="59"/>
      <c r="H35" s="59"/>
      <c r="I35" s="59"/>
      <c r="J35" s="59"/>
      <c r="K35" s="305"/>
      <c r="L35" s="104"/>
      <c r="M35" s="104"/>
      <c r="N35" s="104"/>
      <c r="O35" s="104"/>
      <c r="P35" s="108"/>
      <c r="Q35" s="117"/>
      <c r="R35" s="87"/>
      <c r="S35" s="90"/>
      <c r="T35" s="104"/>
      <c r="U35" s="52"/>
      <c r="W35" s="59"/>
      <c r="X35" s="59"/>
      <c r="Y35" s="111"/>
      <c r="Z35" s="48"/>
    </row>
    <row r="36" spans="2:26" s="30" customFormat="1" ht="10.5" customHeight="1">
      <c r="B36" s="31"/>
      <c r="C36" s="481" t="s">
        <v>298</v>
      </c>
      <c r="D36" s="481"/>
      <c r="E36" s="481"/>
      <c r="F36" s="481"/>
      <c r="G36" s="481"/>
      <c r="H36" s="481"/>
      <c r="I36" s="481"/>
      <c r="J36" s="481"/>
      <c r="K36" s="299"/>
      <c r="L36" s="109">
        <v>3644</v>
      </c>
      <c r="M36" s="109">
        <v>7778</v>
      </c>
      <c r="N36" s="109">
        <v>3937</v>
      </c>
      <c r="O36" s="109">
        <v>3841</v>
      </c>
      <c r="P36" s="107">
        <f>SUM(M36/Z36)</f>
        <v>16908.695652173912</v>
      </c>
      <c r="Q36" s="116">
        <f>ROUND(M36/L36,2)</f>
        <v>2.13</v>
      </c>
      <c r="R36" s="92">
        <f>SUM(M36-T36)</f>
        <v>1136</v>
      </c>
      <c r="S36" s="93">
        <f>ROUND((R36/T36)*100,2)</f>
        <v>17.1</v>
      </c>
      <c r="T36" s="109">
        <v>6642</v>
      </c>
      <c r="U36" s="80"/>
      <c r="W36" s="481" t="s">
        <v>298</v>
      </c>
      <c r="X36" s="481"/>
      <c r="Y36" s="110">
        <f>SUM(Y37:Y39)</f>
        <v>0.459</v>
      </c>
      <c r="Z36" s="303">
        <f>ROUND(Y36,2)</f>
        <v>0.46</v>
      </c>
    </row>
    <row r="37" spans="2:26" ht="10.5" customHeight="1">
      <c r="B37" s="29"/>
      <c r="C37" s="59"/>
      <c r="D37" s="59"/>
      <c r="E37" s="59"/>
      <c r="F37" s="59"/>
      <c r="G37" s="482" t="s">
        <v>289</v>
      </c>
      <c r="H37" s="482"/>
      <c r="I37" s="482"/>
      <c r="J37" s="482"/>
      <c r="K37" s="305"/>
      <c r="L37" s="104">
        <v>985</v>
      </c>
      <c r="M37" s="104">
        <v>2132</v>
      </c>
      <c r="N37" s="104">
        <v>1070</v>
      </c>
      <c r="O37" s="104">
        <v>1062</v>
      </c>
      <c r="P37" s="108">
        <f>SUM(M37/Z37)</f>
        <v>19381.81818181818</v>
      </c>
      <c r="Q37" s="117">
        <f>ROUND(M37/L37,2)</f>
        <v>2.16</v>
      </c>
      <c r="R37" s="87">
        <f>SUM(M37-T37)</f>
        <v>263</v>
      </c>
      <c r="S37" s="90">
        <f>ROUND((R37/T37)*100,2)</f>
        <v>14.07</v>
      </c>
      <c r="T37" s="104">
        <v>1869</v>
      </c>
      <c r="U37" s="52"/>
      <c r="W37" s="59"/>
      <c r="X37" s="82" t="s">
        <v>289</v>
      </c>
      <c r="Y37" s="111">
        <v>0.109</v>
      </c>
      <c r="Z37" s="48">
        <f>ROUND(Y37,2)</f>
        <v>0.11</v>
      </c>
    </row>
    <row r="38" spans="2:26" ht="10.5" customHeight="1">
      <c r="B38" s="29"/>
      <c r="C38" s="59"/>
      <c r="D38" s="59"/>
      <c r="E38" s="59"/>
      <c r="F38" s="59"/>
      <c r="G38" s="482" t="s">
        <v>290</v>
      </c>
      <c r="H38" s="482"/>
      <c r="I38" s="482"/>
      <c r="J38" s="482"/>
      <c r="K38" s="305"/>
      <c r="L38" s="104">
        <v>1055</v>
      </c>
      <c r="M38" s="104">
        <v>2099</v>
      </c>
      <c r="N38" s="104">
        <v>1109</v>
      </c>
      <c r="O38" s="104">
        <v>990</v>
      </c>
      <c r="P38" s="108">
        <f>SUM(M38/Z38)</f>
        <v>13118.75</v>
      </c>
      <c r="Q38" s="117">
        <f>ROUND(M38/L38,2)</f>
        <v>1.99</v>
      </c>
      <c r="R38" s="87">
        <f>SUM(M38-T38)</f>
        <v>188</v>
      </c>
      <c r="S38" s="90">
        <f>ROUND((R38/T38)*100,2)</f>
        <v>9.84</v>
      </c>
      <c r="T38" s="104">
        <v>1911</v>
      </c>
      <c r="U38" s="52"/>
      <c r="W38" s="59"/>
      <c r="X38" s="82" t="s">
        <v>290</v>
      </c>
      <c r="Y38" s="111">
        <v>0.155</v>
      </c>
      <c r="Z38" s="48">
        <f>ROUND(Y38,2)</f>
        <v>0.16</v>
      </c>
    </row>
    <row r="39" spans="2:26" ht="10.5" customHeight="1">
      <c r="B39" s="29"/>
      <c r="C39" s="59"/>
      <c r="D39" s="59"/>
      <c r="E39" s="59"/>
      <c r="F39" s="59"/>
      <c r="G39" s="482" t="s">
        <v>294</v>
      </c>
      <c r="H39" s="482"/>
      <c r="I39" s="482"/>
      <c r="J39" s="482"/>
      <c r="K39" s="305"/>
      <c r="L39" s="104">
        <v>1604</v>
      </c>
      <c r="M39" s="104">
        <v>3547</v>
      </c>
      <c r="N39" s="104">
        <v>1758</v>
      </c>
      <c r="O39" s="104">
        <v>1789</v>
      </c>
      <c r="P39" s="108">
        <f>SUM(M39/Z39)</f>
        <v>17735</v>
      </c>
      <c r="Q39" s="117">
        <f>ROUND(M39/L39,2)</f>
        <v>2.21</v>
      </c>
      <c r="R39" s="87">
        <f>SUM(M39-T39)</f>
        <v>685</v>
      </c>
      <c r="S39" s="90">
        <f>ROUND((R39/T39)*100,2)</f>
        <v>23.93</v>
      </c>
      <c r="T39" s="104">
        <v>2862</v>
      </c>
      <c r="U39" s="52"/>
      <c r="W39" s="59"/>
      <c r="X39" s="82" t="s">
        <v>294</v>
      </c>
      <c r="Y39" s="111">
        <v>0.195</v>
      </c>
      <c r="Z39" s="48">
        <f>ROUND(Y39,2)</f>
        <v>0.2</v>
      </c>
    </row>
    <row r="40" spans="2:26" ht="6" customHeight="1">
      <c r="B40" s="29"/>
      <c r="C40" s="59"/>
      <c r="D40" s="59"/>
      <c r="E40" s="59"/>
      <c r="F40" s="59"/>
      <c r="G40" s="59"/>
      <c r="H40" s="59"/>
      <c r="I40" s="59"/>
      <c r="J40" s="59"/>
      <c r="K40" s="305"/>
      <c r="L40" s="104"/>
      <c r="M40" s="104"/>
      <c r="N40" s="104"/>
      <c r="O40" s="104"/>
      <c r="P40" s="108"/>
      <c r="Q40" s="117"/>
      <c r="R40" s="87"/>
      <c r="S40" s="90"/>
      <c r="T40" s="104"/>
      <c r="U40" s="52"/>
      <c r="W40" s="59"/>
      <c r="X40" s="59"/>
      <c r="Y40" s="111"/>
      <c r="Z40" s="48"/>
    </row>
    <row r="41" spans="2:26" s="30" customFormat="1" ht="10.5" customHeight="1">
      <c r="B41" s="31"/>
      <c r="C41" s="481" t="s">
        <v>299</v>
      </c>
      <c r="D41" s="481"/>
      <c r="E41" s="481"/>
      <c r="F41" s="481"/>
      <c r="G41" s="481"/>
      <c r="H41" s="481"/>
      <c r="I41" s="481"/>
      <c r="J41" s="481"/>
      <c r="K41" s="299"/>
      <c r="L41" s="109">
        <v>9591</v>
      </c>
      <c r="M41" s="109">
        <v>16895</v>
      </c>
      <c r="N41" s="109">
        <v>8387</v>
      </c>
      <c r="O41" s="109">
        <v>8508</v>
      </c>
      <c r="P41" s="107">
        <f aca="true" t="shared" si="0" ref="P41:P47">SUM(M41/Z41)</f>
        <v>20603.658536585368</v>
      </c>
      <c r="Q41" s="116">
        <f aca="true" t="shared" si="1" ref="Q41:Q47">ROUND(M41/L41,2)</f>
        <v>1.76</v>
      </c>
      <c r="R41" s="92">
        <f aca="true" t="shared" si="2" ref="R41:R47">SUM(M41-T41)</f>
        <v>1222</v>
      </c>
      <c r="S41" s="93">
        <f aca="true" t="shared" si="3" ref="S41:S47">ROUND((R41/T41)*100,2)</f>
        <v>7.8</v>
      </c>
      <c r="T41" s="109">
        <v>15673</v>
      </c>
      <c r="U41" s="80"/>
      <c r="W41" s="481" t="s">
        <v>299</v>
      </c>
      <c r="X41" s="481"/>
      <c r="Y41" s="110">
        <f>SUM(Y42:Y47)</f>
        <v>0.8150000000000001</v>
      </c>
      <c r="Z41" s="303">
        <f aca="true" t="shared" si="4" ref="Z41:Z47">ROUND(Y41,2)</f>
        <v>0.82</v>
      </c>
    </row>
    <row r="42" spans="2:26" ht="10.5" customHeight="1">
      <c r="B42" s="29"/>
      <c r="C42" s="59"/>
      <c r="D42" s="59"/>
      <c r="E42" s="59"/>
      <c r="F42" s="59"/>
      <c r="G42" s="482" t="s">
        <v>289</v>
      </c>
      <c r="H42" s="482"/>
      <c r="I42" s="482"/>
      <c r="J42" s="482"/>
      <c r="K42" s="305"/>
      <c r="L42" s="104">
        <v>1333</v>
      </c>
      <c r="M42" s="104">
        <v>2435</v>
      </c>
      <c r="N42" s="104">
        <v>1167</v>
      </c>
      <c r="O42" s="104">
        <v>1268</v>
      </c>
      <c r="P42" s="108">
        <f t="shared" si="0"/>
        <v>20291.666666666668</v>
      </c>
      <c r="Q42" s="117">
        <f t="shared" si="1"/>
        <v>1.83</v>
      </c>
      <c r="R42" s="87">
        <f t="shared" si="2"/>
        <v>336</v>
      </c>
      <c r="S42" s="90">
        <f t="shared" si="3"/>
        <v>16.01</v>
      </c>
      <c r="T42" s="104">
        <v>2099</v>
      </c>
      <c r="U42" s="52"/>
      <c r="W42" s="59"/>
      <c r="X42" s="82" t="s">
        <v>289</v>
      </c>
      <c r="Y42" s="111">
        <v>0.121</v>
      </c>
      <c r="Z42" s="48">
        <f t="shared" si="4"/>
        <v>0.12</v>
      </c>
    </row>
    <row r="43" spans="2:26" ht="10.5" customHeight="1">
      <c r="B43" s="29"/>
      <c r="C43" s="59"/>
      <c r="D43" s="59"/>
      <c r="E43" s="59"/>
      <c r="F43" s="59"/>
      <c r="G43" s="482" t="s">
        <v>290</v>
      </c>
      <c r="H43" s="482"/>
      <c r="I43" s="482"/>
      <c r="J43" s="482"/>
      <c r="K43" s="305"/>
      <c r="L43" s="104">
        <v>1255</v>
      </c>
      <c r="M43" s="104">
        <v>2203</v>
      </c>
      <c r="N43" s="104">
        <v>1086</v>
      </c>
      <c r="O43" s="104">
        <v>1117</v>
      </c>
      <c r="P43" s="108">
        <f t="shared" si="0"/>
        <v>18358.333333333336</v>
      </c>
      <c r="Q43" s="117">
        <f t="shared" si="1"/>
        <v>1.76</v>
      </c>
      <c r="R43" s="87">
        <f t="shared" si="2"/>
        <v>5</v>
      </c>
      <c r="S43" s="90">
        <f t="shared" si="3"/>
        <v>0.23</v>
      </c>
      <c r="T43" s="104">
        <v>2198</v>
      </c>
      <c r="U43" s="52"/>
      <c r="W43" s="59"/>
      <c r="X43" s="82" t="s">
        <v>290</v>
      </c>
      <c r="Y43" s="111">
        <v>0.12</v>
      </c>
      <c r="Z43" s="48">
        <f t="shared" si="4"/>
        <v>0.12</v>
      </c>
    </row>
    <row r="44" spans="2:26" ht="10.5" customHeight="1">
      <c r="B44" s="29"/>
      <c r="C44" s="59"/>
      <c r="D44" s="59"/>
      <c r="E44" s="59"/>
      <c r="F44" s="59"/>
      <c r="G44" s="482" t="s">
        <v>294</v>
      </c>
      <c r="H44" s="482"/>
      <c r="I44" s="482"/>
      <c r="J44" s="482"/>
      <c r="K44" s="305"/>
      <c r="L44" s="104">
        <v>1557</v>
      </c>
      <c r="M44" s="104">
        <v>2709</v>
      </c>
      <c r="N44" s="104">
        <v>1389</v>
      </c>
      <c r="O44" s="104">
        <v>1320</v>
      </c>
      <c r="P44" s="108">
        <f t="shared" si="0"/>
        <v>16931.25</v>
      </c>
      <c r="Q44" s="117">
        <f t="shared" si="1"/>
        <v>1.74</v>
      </c>
      <c r="R44" s="87">
        <f t="shared" si="2"/>
        <v>-89</v>
      </c>
      <c r="S44" s="90">
        <f t="shared" si="3"/>
        <v>-3.18</v>
      </c>
      <c r="T44" s="104">
        <v>2798</v>
      </c>
      <c r="U44" s="52"/>
      <c r="W44" s="59"/>
      <c r="X44" s="82" t="s">
        <v>294</v>
      </c>
      <c r="Y44" s="111">
        <v>0.156</v>
      </c>
      <c r="Z44" s="48">
        <f t="shared" si="4"/>
        <v>0.16</v>
      </c>
    </row>
    <row r="45" spans="2:26" ht="10.5" customHeight="1">
      <c r="B45" s="29"/>
      <c r="C45" s="59"/>
      <c r="D45" s="59"/>
      <c r="E45" s="59"/>
      <c r="F45" s="59"/>
      <c r="G45" s="482" t="s">
        <v>297</v>
      </c>
      <c r="H45" s="482"/>
      <c r="I45" s="482"/>
      <c r="J45" s="482"/>
      <c r="K45" s="305"/>
      <c r="L45" s="104">
        <v>1966</v>
      </c>
      <c r="M45" s="104">
        <v>3352</v>
      </c>
      <c r="N45" s="104">
        <v>1689</v>
      </c>
      <c r="O45" s="104">
        <v>1663</v>
      </c>
      <c r="P45" s="108">
        <f t="shared" si="0"/>
        <v>22346.666666666668</v>
      </c>
      <c r="Q45" s="117">
        <f t="shared" si="1"/>
        <v>1.7</v>
      </c>
      <c r="R45" s="87">
        <f t="shared" si="2"/>
        <v>86</v>
      </c>
      <c r="S45" s="90">
        <f t="shared" si="3"/>
        <v>2.63</v>
      </c>
      <c r="T45" s="104">
        <v>3266</v>
      </c>
      <c r="U45" s="52"/>
      <c r="W45" s="59"/>
      <c r="X45" s="82" t="s">
        <v>297</v>
      </c>
      <c r="Y45" s="111">
        <v>0.154</v>
      </c>
      <c r="Z45" s="48">
        <f t="shared" si="4"/>
        <v>0.15</v>
      </c>
    </row>
    <row r="46" spans="2:26" ht="10.5" customHeight="1">
      <c r="B46" s="29"/>
      <c r="C46" s="59"/>
      <c r="D46" s="59"/>
      <c r="E46" s="59"/>
      <c r="F46" s="59"/>
      <c r="G46" s="482" t="s">
        <v>300</v>
      </c>
      <c r="H46" s="482"/>
      <c r="I46" s="482"/>
      <c r="J46" s="482"/>
      <c r="K46" s="305"/>
      <c r="L46" s="104">
        <v>1816</v>
      </c>
      <c r="M46" s="104">
        <v>3087</v>
      </c>
      <c r="N46" s="104">
        <v>1515</v>
      </c>
      <c r="O46" s="104">
        <v>1572</v>
      </c>
      <c r="P46" s="108">
        <f t="shared" si="0"/>
        <v>22049.999999999996</v>
      </c>
      <c r="Q46" s="117">
        <f t="shared" si="1"/>
        <v>1.7</v>
      </c>
      <c r="R46" s="87">
        <f t="shared" si="2"/>
        <v>223</v>
      </c>
      <c r="S46" s="90">
        <f t="shared" si="3"/>
        <v>7.79</v>
      </c>
      <c r="T46" s="104">
        <v>2864</v>
      </c>
      <c r="U46" s="52"/>
      <c r="W46" s="59"/>
      <c r="X46" s="82" t="s">
        <v>300</v>
      </c>
      <c r="Y46" s="111">
        <v>0.143</v>
      </c>
      <c r="Z46" s="48">
        <f t="shared" si="4"/>
        <v>0.14</v>
      </c>
    </row>
    <row r="47" spans="2:26" ht="10.5" customHeight="1">
      <c r="B47" s="29"/>
      <c r="C47" s="59"/>
      <c r="D47" s="59"/>
      <c r="E47" s="59"/>
      <c r="F47" s="59"/>
      <c r="G47" s="482" t="s">
        <v>301</v>
      </c>
      <c r="H47" s="482"/>
      <c r="I47" s="482"/>
      <c r="J47" s="482"/>
      <c r="K47" s="305"/>
      <c r="L47" s="104">
        <v>1664</v>
      </c>
      <c r="M47" s="104">
        <v>3109</v>
      </c>
      <c r="N47" s="104">
        <v>1541</v>
      </c>
      <c r="O47" s="104">
        <v>1568</v>
      </c>
      <c r="P47" s="108">
        <f t="shared" si="0"/>
        <v>25908.333333333336</v>
      </c>
      <c r="Q47" s="117">
        <f t="shared" si="1"/>
        <v>1.87</v>
      </c>
      <c r="R47" s="87">
        <f t="shared" si="2"/>
        <v>661</v>
      </c>
      <c r="S47" s="90">
        <f t="shared" si="3"/>
        <v>27</v>
      </c>
      <c r="T47" s="104">
        <v>2448</v>
      </c>
      <c r="U47" s="52"/>
      <c r="W47" s="59"/>
      <c r="X47" s="82" t="s">
        <v>301</v>
      </c>
      <c r="Y47" s="111">
        <v>0.121</v>
      </c>
      <c r="Z47" s="48">
        <f t="shared" si="4"/>
        <v>0.12</v>
      </c>
    </row>
    <row r="48" spans="2:26" ht="6" customHeight="1">
      <c r="B48" s="29"/>
      <c r="C48" s="59"/>
      <c r="D48" s="59"/>
      <c r="E48" s="59"/>
      <c r="F48" s="59"/>
      <c r="G48" s="59"/>
      <c r="H48" s="59"/>
      <c r="I48" s="59"/>
      <c r="J48" s="59"/>
      <c r="K48" s="305"/>
      <c r="L48" s="104"/>
      <c r="M48" s="104"/>
      <c r="N48" s="104"/>
      <c r="O48" s="104"/>
      <c r="P48" s="108"/>
      <c r="Q48" s="117"/>
      <c r="R48" s="87"/>
      <c r="S48" s="90"/>
      <c r="T48" s="104"/>
      <c r="U48" s="52"/>
      <c r="W48" s="59"/>
      <c r="X48" s="59"/>
      <c r="Y48" s="111"/>
      <c r="Z48" s="48"/>
    </row>
    <row r="49" spans="2:26" s="30" customFormat="1" ht="10.5" customHeight="1">
      <c r="B49" s="31"/>
      <c r="C49" s="481" t="s">
        <v>302</v>
      </c>
      <c r="D49" s="481"/>
      <c r="E49" s="481"/>
      <c r="F49" s="481"/>
      <c r="G49" s="481"/>
      <c r="H49" s="481"/>
      <c r="I49" s="481"/>
      <c r="J49" s="481"/>
      <c r="K49" s="299"/>
      <c r="L49" s="109">
        <v>4245</v>
      </c>
      <c r="M49" s="109">
        <v>9039</v>
      </c>
      <c r="N49" s="109">
        <v>4458</v>
      </c>
      <c r="O49" s="109">
        <v>4581</v>
      </c>
      <c r="P49" s="107">
        <f>SUM(M49/Z49)</f>
        <v>18078</v>
      </c>
      <c r="Q49" s="116">
        <f>ROUND(M49/L49,2)</f>
        <v>2.13</v>
      </c>
      <c r="R49" s="92">
        <f>SUM(M49-T49)</f>
        <v>502</v>
      </c>
      <c r="S49" s="93">
        <f>ROUND((R49/T49)*100,2)</f>
        <v>5.88</v>
      </c>
      <c r="T49" s="109">
        <v>8537</v>
      </c>
      <c r="U49" s="80"/>
      <c r="W49" s="481" t="s">
        <v>302</v>
      </c>
      <c r="X49" s="481"/>
      <c r="Y49" s="110">
        <f>SUM(Y50:Y52)</f>
        <v>0.498</v>
      </c>
      <c r="Z49" s="303">
        <f>ROUND(Y49,2)</f>
        <v>0.5</v>
      </c>
    </row>
    <row r="50" spans="2:26" ht="10.5" customHeight="1">
      <c r="B50" s="29"/>
      <c r="C50" s="59"/>
      <c r="D50" s="59"/>
      <c r="E50" s="59"/>
      <c r="F50" s="59"/>
      <c r="G50" s="482" t="s">
        <v>289</v>
      </c>
      <c r="H50" s="482"/>
      <c r="I50" s="482"/>
      <c r="J50" s="482"/>
      <c r="K50" s="305"/>
      <c r="L50" s="104">
        <v>1066</v>
      </c>
      <c r="M50" s="104">
        <v>2332</v>
      </c>
      <c r="N50" s="104">
        <v>1161</v>
      </c>
      <c r="O50" s="104">
        <v>1171</v>
      </c>
      <c r="P50" s="108">
        <f>SUM(M50/Z50)</f>
        <v>15546.666666666668</v>
      </c>
      <c r="Q50" s="117">
        <f>ROUND(M50/L50,2)</f>
        <v>2.19</v>
      </c>
      <c r="R50" s="87">
        <f>SUM(M50-T50)</f>
        <v>-165</v>
      </c>
      <c r="S50" s="90">
        <f>ROUND((R50/T50)*100,2)</f>
        <v>-6.61</v>
      </c>
      <c r="T50" s="104">
        <v>2497</v>
      </c>
      <c r="U50" s="52"/>
      <c r="W50" s="59"/>
      <c r="X50" s="82" t="s">
        <v>289</v>
      </c>
      <c r="Y50" s="111">
        <v>0.148</v>
      </c>
      <c r="Z50" s="48">
        <f>ROUND(Y50,2)</f>
        <v>0.15</v>
      </c>
    </row>
    <row r="51" spans="2:26" ht="10.5" customHeight="1">
      <c r="B51" s="29"/>
      <c r="C51" s="59"/>
      <c r="D51" s="59"/>
      <c r="E51" s="59"/>
      <c r="F51" s="59"/>
      <c r="G51" s="482" t="s">
        <v>290</v>
      </c>
      <c r="H51" s="482"/>
      <c r="I51" s="482"/>
      <c r="J51" s="482"/>
      <c r="K51" s="305"/>
      <c r="L51" s="104">
        <v>1291</v>
      </c>
      <c r="M51" s="104">
        <v>2882</v>
      </c>
      <c r="N51" s="104">
        <v>1391</v>
      </c>
      <c r="O51" s="104">
        <v>1491</v>
      </c>
      <c r="P51" s="108">
        <f>SUM(M51/Z51)</f>
        <v>18012.5</v>
      </c>
      <c r="Q51" s="117">
        <f>ROUND(M51/L51,2)</f>
        <v>2.23</v>
      </c>
      <c r="R51" s="87">
        <f>SUM(M51-T51)</f>
        <v>413</v>
      </c>
      <c r="S51" s="90">
        <f>ROUND((R51/T51)*100,2)</f>
        <v>16.73</v>
      </c>
      <c r="T51" s="104">
        <v>2469</v>
      </c>
      <c r="U51" s="52"/>
      <c r="W51" s="59"/>
      <c r="X51" s="82" t="s">
        <v>290</v>
      </c>
      <c r="Y51" s="111">
        <v>0.156</v>
      </c>
      <c r="Z51" s="48">
        <f>ROUND(Y51,2)</f>
        <v>0.16</v>
      </c>
    </row>
    <row r="52" spans="2:26" ht="10.5" customHeight="1">
      <c r="B52" s="29"/>
      <c r="C52" s="59"/>
      <c r="D52" s="59"/>
      <c r="E52" s="59"/>
      <c r="F52" s="59"/>
      <c r="G52" s="482" t="s">
        <v>294</v>
      </c>
      <c r="H52" s="482"/>
      <c r="I52" s="482"/>
      <c r="J52" s="482"/>
      <c r="K52" s="305"/>
      <c r="L52" s="104">
        <v>1888</v>
      </c>
      <c r="M52" s="104">
        <v>3825</v>
      </c>
      <c r="N52" s="104">
        <v>1906</v>
      </c>
      <c r="O52" s="104">
        <v>1919</v>
      </c>
      <c r="P52" s="108">
        <f>SUM(M52/Z52)</f>
        <v>20131.57894736842</v>
      </c>
      <c r="Q52" s="117">
        <f>ROUND(M52/L52,2)</f>
        <v>2.03</v>
      </c>
      <c r="R52" s="87">
        <f>SUM(M52-T52)</f>
        <v>254</v>
      </c>
      <c r="S52" s="90">
        <f>ROUND((R52/T52)*100,2)</f>
        <v>7.11</v>
      </c>
      <c r="T52" s="104">
        <v>3571</v>
      </c>
      <c r="U52" s="52"/>
      <c r="W52" s="59"/>
      <c r="X52" s="82" t="s">
        <v>294</v>
      </c>
      <c r="Y52" s="111">
        <v>0.194</v>
      </c>
      <c r="Z52" s="48">
        <f>ROUND(Y52,2)</f>
        <v>0.19</v>
      </c>
    </row>
    <row r="53" spans="2:26" ht="6" customHeight="1">
      <c r="B53" s="29"/>
      <c r="C53" s="29"/>
      <c r="D53" s="29"/>
      <c r="E53" s="29"/>
      <c r="F53" s="29"/>
      <c r="G53" s="29"/>
      <c r="H53" s="29"/>
      <c r="I53" s="29"/>
      <c r="J53" s="29"/>
      <c r="K53" s="149"/>
      <c r="L53" s="104"/>
      <c r="M53" s="104"/>
      <c r="N53" s="104"/>
      <c r="O53" s="104"/>
      <c r="P53" s="108"/>
      <c r="Q53" s="117"/>
      <c r="R53" s="87"/>
      <c r="S53" s="90"/>
      <c r="T53" s="104"/>
      <c r="U53" s="52"/>
      <c r="W53" s="59"/>
      <c r="X53" s="59"/>
      <c r="Y53" s="111"/>
      <c r="Z53" s="48"/>
    </row>
    <row r="54" spans="2:26" s="30" customFormat="1" ht="10.5" customHeight="1">
      <c r="B54" s="31"/>
      <c r="C54" s="481" t="s">
        <v>303</v>
      </c>
      <c r="D54" s="481"/>
      <c r="E54" s="481"/>
      <c r="F54" s="481"/>
      <c r="G54" s="481"/>
      <c r="H54" s="481"/>
      <c r="I54" s="481"/>
      <c r="J54" s="481"/>
      <c r="K54" s="299"/>
      <c r="L54" s="109">
        <v>4366</v>
      </c>
      <c r="M54" s="109">
        <v>9221</v>
      </c>
      <c r="N54" s="109">
        <v>4520</v>
      </c>
      <c r="O54" s="109">
        <v>4701</v>
      </c>
      <c r="P54" s="107">
        <f>SUM(M54/Z54)</f>
        <v>17732.69230769231</v>
      </c>
      <c r="Q54" s="116">
        <f>ROUND(M54/L54,2)</f>
        <v>2.11</v>
      </c>
      <c r="R54" s="92">
        <f>SUM(M54-T54)</f>
        <v>1131</v>
      </c>
      <c r="S54" s="93">
        <f>ROUND((R54/T54)*100,2)</f>
        <v>13.98</v>
      </c>
      <c r="T54" s="109">
        <v>8090</v>
      </c>
      <c r="U54" s="80"/>
      <c r="W54" s="481" t="s">
        <v>303</v>
      </c>
      <c r="X54" s="481"/>
      <c r="Y54" s="110">
        <f>SUM(Y55:Y57)</f>
        <v>0.515</v>
      </c>
      <c r="Z54" s="303">
        <f>ROUND(Y54,2)</f>
        <v>0.52</v>
      </c>
    </row>
    <row r="55" spans="2:26" ht="10.5" customHeight="1">
      <c r="B55" s="29"/>
      <c r="C55" s="59"/>
      <c r="D55" s="59"/>
      <c r="E55" s="59"/>
      <c r="F55" s="59"/>
      <c r="G55" s="482" t="s">
        <v>289</v>
      </c>
      <c r="H55" s="482"/>
      <c r="I55" s="482"/>
      <c r="J55" s="482"/>
      <c r="K55" s="305"/>
      <c r="L55" s="104">
        <v>1463</v>
      </c>
      <c r="M55" s="104">
        <v>3345</v>
      </c>
      <c r="N55" s="104">
        <v>1712</v>
      </c>
      <c r="O55" s="104">
        <v>1633</v>
      </c>
      <c r="P55" s="108">
        <f>SUM(M55/Z55)</f>
        <v>15204.545454545454</v>
      </c>
      <c r="Q55" s="117">
        <f>ROUND(M55/L55,2)</f>
        <v>2.29</v>
      </c>
      <c r="R55" s="87">
        <f>SUM(M55-T55)</f>
        <v>288</v>
      </c>
      <c r="S55" s="90">
        <f>ROUND((R55/T55)*100,2)</f>
        <v>9.42</v>
      </c>
      <c r="T55" s="104">
        <v>3057</v>
      </c>
      <c r="U55" s="52"/>
      <c r="W55" s="59"/>
      <c r="X55" s="82" t="s">
        <v>289</v>
      </c>
      <c r="Y55" s="111">
        <v>0.216</v>
      </c>
      <c r="Z55" s="48">
        <f>ROUND(Y55,2)</f>
        <v>0.22</v>
      </c>
    </row>
    <row r="56" spans="2:26" ht="10.5" customHeight="1">
      <c r="B56" s="29"/>
      <c r="C56" s="59"/>
      <c r="D56" s="59"/>
      <c r="E56" s="59"/>
      <c r="F56" s="59"/>
      <c r="G56" s="482" t="s">
        <v>290</v>
      </c>
      <c r="H56" s="482"/>
      <c r="I56" s="482"/>
      <c r="J56" s="482"/>
      <c r="K56" s="305"/>
      <c r="L56" s="104">
        <v>1710</v>
      </c>
      <c r="M56" s="104">
        <v>3330</v>
      </c>
      <c r="N56" s="104">
        <v>1598</v>
      </c>
      <c r="O56" s="104">
        <v>1732</v>
      </c>
      <c r="P56" s="108">
        <f>SUM(M56/Z56)</f>
        <v>19588.235294117647</v>
      </c>
      <c r="Q56" s="117">
        <f>ROUND(M56/L56,2)</f>
        <v>1.95</v>
      </c>
      <c r="R56" s="87">
        <f>SUM(M56-T56)</f>
        <v>352</v>
      </c>
      <c r="S56" s="90">
        <f>ROUND((R56/T56)*100,2)</f>
        <v>11.82</v>
      </c>
      <c r="T56" s="104">
        <v>2978</v>
      </c>
      <c r="U56" s="52"/>
      <c r="W56" s="59"/>
      <c r="X56" s="82" t="s">
        <v>290</v>
      </c>
      <c r="Y56" s="111">
        <v>0.168</v>
      </c>
      <c r="Z56" s="48">
        <f>ROUND(Y56,2)</f>
        <v>0.17</v>
      </c>
    </row>
    <row r="57" spans="2:26" ht="10.5" customHeight="1">
      <c r="B57" s="29"/>
      <c r="C57" s="59"/>
      <c r="D57" s="59"/>
      <c r="E57" s="59"/>
      <c r="F57" s="59"/>
      <c r="G57" s="482" t="s">
        <v>294</v>
      </c>
      <c r="H57" s="482"/>
      <c r="I57" s="482"/>
      <c r="J57" s="482"/>
      <c r="K57" s="305"/>
      <c r="L57" s="104">
        <v>1193</v>
      </c>
      <c r="M57" s="104">
        <v>2546</v>
      </c>
      <c r="N57" s="104">
        <v>1210</v>
      </c>
      <c r="O57" s="104">
        <v>1336</v>
      </c>
      <c r="P57" s="108">
        <f>SUM(M57/Z57)</f>
        <v>19584.615384615383</v>
      </c>
      <c r="Q57" s="117">
        <f>ROUND(M57/L57,2)</f>
        <v>2.13</v>
      </c>
      <c r="R57" s="87">
        <f>SUM(M57-T57)</f>
        <v>491</v>
      </c>
      <c r="S57" s="90">
        <f>ROUND((R57/T57)*100,2)</f>
        <v>23.89</v>
      </c>
      <c r="T57" s="104">
        <v>2055</v>
      </c>
      <c r="U57" s="52"/>
      <c r="W57" s="59"/>
      <c r="X57" s="82" t="s">
        <v>294</v>
      </c>
      <c r="Y57" s="111">
        <v>0.131</v>
      </c>
      <c r="Z57" s="48">
        <f>ROUND(Y57,2)</f>
        <v>0.13</v>
      </c>
    </row>
    <row r="58" spans="2:26" ht="6" customHeight="1">
      <c r="B58" s="29"/>
      <c r="C58" s="29"/>
      <c r="D58" s="29"/>
      <c r="E58" s="29"/>
      <c r="F58" s="29"/>
      <c r="G58" s="29"/>
      <c r="H58" s="29"/>
      <c r="I58" s="29"/>
      <c r="J58" s="29"/>
      <c r="K58" s="149"/>
      <c r="L58" s="104"/>
      <c r="M58" s="104"/>
      <c r="N58" s="104"/>
      <c r="O58" s="104"/>
      <c r="P58" s="108"/>
      <c r="Q58" s="117"/>
      <c r="R58" s="87"/>
      <c r="S58" s="90"/>
      <c r="T58" s="104"/>
      <c r="U58" s="53"/>
      <c r="W58" s="59"/>
      <c r="X58" s="59"/>
      <c r="Y58" s="111"/>
      <c r="Z58" s="48"/>
    </row>
    <row r="59" spans="2:26" s="30" customFormat="1" ht="10.5" customHeight="1">
      <c r="B59" s="31"/>
      <c r="C59" s="481" t="s">
        <v>304</v>
      </c>
      <c r="D59" s="481"/>
      <c r="E59" s="481"/>
      <c r="F59" s="481"/>
      <c r="G59" s="481"/>
      <c r="H59" s="481"/>
      <c r="I59" s="481"/>
      <c r="J59" s="481"/>
      <c r="K59" s="299"/>
      <c r="L59" s="109">
        <v>5243</v>
      </c>
      <c r="M59" s="109">
        <v>9888</v>
      </c>
      <c r="N59" s="109">
        <v>4799</v>
      </c>
      <c r="O59" s="109">
        <v>5089</v>
      </c>
      <c r="P59" s="107">
        <f>SUM(M59/Z59)</f>
        <v>21973.333333333332</v>
      </c>
      <c r="Q59" s="116">
        <f>ROUND(M59/L59,2)</f>
        <v>1.89</v>
      </c>
      <c r="R59" s="92">
        <f>SUM(M59-T59)</f>
        <v>1112</v>
      </c>
      <c r="S59" s="93">
        <f>ROUND((R59/T59)*100,2)</f>
        <v>12.67</v>
      </c>
      <c r="T59" s="109">
        <v>8776</v>
      </c>
      <c r="U59" s="80"/>
      <c r="W59" s="481" t="s">
        <v>304</v>
      </c>
      <c r="X59" s="481"/>
      <c r="Y59" s="110">
        <f>SUM(Y60:Y63)</f>
        <v>0.449</v>
      </c>
      <c r="Z59" s="303">
        <f>ROUND(Y59,2)</f>
        <v>0.45</v>
      </c>
    </row>
    <row r="60" spans="2:26" ht="10.5" customHeight="1">
      <c r="B60" s="29"/>
      <c r="C60" s="59"/>
      <c r="D60" s="59"/>
      <c r="E60" s="59"/>
      <c r="F60" s="59"/>
      <c r="G60" s="482" t="s">
        <v>289</v>
      </c>
      <c r="H60" s="482"/>
      <c r="I60" s="482"/>
      <c r="J60" s="482"/>
      <c r="K60" s="305"/>
      <c r="L60" s="104">
        <v>1568</v>
      </c>
      <c r="M60" s="104">
        <v>2860</v>
      </c>
      <c r="N60" s="104">
        <v>1402</v>
      </c>
      <c r="O60" s="104">
        <v>1458</v>
      </c>
      <c r="P60" s="108">
        <f>SUM(M60/Z60)</f>
        <v>23833.333333333336</v>
      </c>
      <c r="Q60" s="117">
        <f>ROUND(M60/L60,2)</f>
        <v>1.82</v>
      </c>
      <c r="R60" s="87">
        <f>SUM(M60-T60)</f>
        <v>124</v>
      </c>
      <c r="S60" s="90">
        <f>ROUND((R60/T60)*100,2)</f>
        <v>4.53</v>
      </c>
      <c r="T60" s="104">
        <v>2736</v>
      </c>
      <c r="U60" s="52"/>
      <c r="W60" s="59"/>
      <c r="X60" s="82" t="s">
        <v>289</v>
      </c>
      <c r="Y60" s="111">
        <v>0.122</v>
      </c>
      <c r="Z60" s="48">
        <f>ROUND(Y60,2)</f>
        <v>0.12</v>
      </c>
    </row>
    <row r="61" spans="2:26" ht="10.5" customHeight="1">
      <c r="B61" s="29"/>
      <c r="C61" s="59"/>
      <c r="D61" s="59"/>
      <c r="E61" s="59"/>
      <c r="F61" s="59"/>
      <c r="G61" s="482" t="s">
        <v>290</v>
      </c>
      <c r="H61" s="482"/>
      <c r="I61" s="482"/>
      <c r="J61" s="482"/>
      <c r="K61" s="305"/>
      <c r="L61" s="104">
        <v>1260</v>
      </c>
      <c r="M61" s="104">
        <v>2563</v>
      </c>
      <c r="N61" s="104">
        <v>1309</v>
      </c>
      <c r="O61" s="104">
        <v>1254</v>
      </c>
      <c r="P61" s="108">
        <f>SUM(M61/Z61)</f>
        <v>19715.384615384613</v>
      </c>
      <c r="Q61" s="117">
        <f>ROUND(M61/L61,2)</f>
        <v>2.03</v>
      </c>
      <c r="R61" s="87">
        <f>SUM(M61-T61)</f>
        <v>400</v>
      </c>
      <c r="S61" s="90">
        <f>ROUND((R61/T61)*100,2)</f>
        <v>18.49</v>
      </c>
      <c r="T61" s="104">
        <v>2163</v>
      </c>
      <c r="U61" s="52"/>
      <c r="W61" s="59"/>
      <c r="X61" s="82" t="s">
        <v>290</v>
      </c>
      <c r="Y61" s="111">
        <v>0.125</v>
      </c>
      <c r="Z61" s="48">
        <f>ROUND(Y61,2)</f>
        <v>0.13</v>
      </c>
    </row>
    <row r="62" spans="2:26" ht="10.5" customHeight="1">
      <c r="B62" s="29"/>
      <c r="C62" s="59"/>
      <c r="D62" s="59"/>
      <c r="E62" s="59"/>
      <c r="F62" s="59"/>
      <c r="G62" s="482" t="s">
        <v>294</v>
      </c>
      <c r="H62" s="482"/>
      <c r="I62" s="482"/>
      <c r="J62" s="482"/>
      <c r="K62" s="305"/>
      <c r="L62" s="104">
        <v>1085</v>
      </c>
      <c r="M62" s="104">
        <v>1952</v>
      </c>
      <c r="N62" s="104">
        <v>920</v>
      </c>
      <c r="O62" s="104">
        <v>1032</v>
      </c>
      <c r="P62" s="108">
        <f>SUM(M62/Z62)</f>
        <v>24400</v>
      </c>
      <c r="Q62" s="117">
        <f>ROUND(M62/L62,2)</f>
        <v>1.8</v>
      </c>
      <c r="R62" s="87">
        <f>SUM(M62-T62)</f>
        <v>313</v>
      </c>
      <c r="S62" s="90">
        <f>ROUND((R62/T62)*100,2)</f>
        <v>19.1</v>
      </c>
      <c r="T62" s="104">
        <v>1639</v>
      </c>
      <c r="U62" s="52"/>
      <c r="W62" s="59"/>
      <c r="X62" s="82" t="s">
        <v>294</v>
      </c>
      <c r="Y62" s="111">
        <v>0.08</v>
      </c>
      <c r="Z62" s="48">
        <f>ROUND(Y62,2)</f>
        <v>0.08</v>
      </c>
    </row>
    <row r="63" spans="2:26" ht="10.5" customHeight="1">
      <c r="B63" s="29"/>
      <c r="C63" s="59"/>
      <c r="D63" s="59"/>
      <c r="E63" s="59"/>
      <c r="F63" s="59"/>
      <c r="G63" s="482" t="s">
        <v>297</v>
      </c>
      <c r="H63" s="482"/>
      <c r="I63" s="482"/>
      <c r="J63" s="482"/>
      <c r="K63" s="305"/>
      <c r="L63" s="104">
        <v>1330</v>
      </c>
      <c r="M63" s="104">
        <v>2513</v>
      </c>
      <c r="N63" s="104">
        <v>1168</v>
      </c>
      <c r="O63" s="104">
        <v>1345</v>
      </c>
      <c r="P63" s="108">
        <f>SUM(M63/Z63)</f>
        <v>20941.666666666668</v>
      </c>
      <c r="Q63" s="117">
        <f>ROUND(M63/L63,2)</f>
        <v>1.89</v>
      </c>
      <c r="R63" s="87">
        <f>SUM(M63-T63)</f>
        <v>275</v>
      </c>
      <c r="S63" s="90">
        <f>ROUND((R63/T63)*100,2)</f>
        <v>12.29</v>
      </c>
      <c r="T63" s="104">
        <v>2238</v>
      </c>
      <c r="U63" s="52"/>
      <c r="W63" s="59"/>
      <c r="X63" s="82" t="s">
        <v>297</v>
      </c>
      <c r="Y63" s="111">
        <v>0.122</v>
      </c>
      <c r="Z63" s="48">
        <f>ROUND(Y63,2)</f>
        <v>0.12</v>
      </c>
    </row>
    <row r="64" spans="2:26" ht="6" customHeight="1">
      <c r="B64" s="29"/>
      <c r="C64" s="59"/>
      <c r="D64" s="59"/>
      <c r="E64" s="59"/>
      <c r="F64" s="59"/>
      <c r="G64" s="59"/>
      <c r="H64" s="59"/>
      <c r="I64" s="59"/>
      <c r="J64" s="59"/>
      <c r="K64" s="305"/>
      <c r="L64" s="104"/>
      <c r="M64" s="104"/>
      <c r="N64" s="104"/>
      <c r="O64" s="104"/>
      <c r="P64" s="108"/>
      <c r="Q64" s="117"/>
      <c r="R64" s="87"/>
      <c r="S64" s="90"/>
      <c r="T64" s="104"/>
      <c r="U64" s="52"/>
      <c r="W64" s="59"/>
      <c r="X64" s="59"/>
      <c r="Y64" s="111"/>
      <c r="Z64" s="48"/>
    </row>
    <row r="65" spans="2:26" s="30" customFormat="1" ht="10.5" customHeight="1">
      <c r="B65" s="31"/>
      <c r="C65" s="481" t="s">
        <v>305</v>
      </c>
      <c r="D65" s="481"/>
      <c r="E65" s="481"/>
      <c r="F65" s="481"/>
      <c r="G65" s="481"/>
      <c r="H65" s="481"/>
      <c r="I65" s="481"/>
      <c r="J65" s="481"/>
      <c r="K65" s="299"/>
      <c r="L65" s="109">
        <v>12548</v>
      </c>
      <c r="M65" s="109">
        <v>24711</v>
      </c>
      <c r="N65" s="109">
        <v>12144</v>
      </c>
      <c r="O65" s="109">
        <v>12567</v>
      </c>
      <c r="P65" s="107">
        <f aca="true" t="shared" si="5" ref="P65:P71">SUM(M65/Z65)</f>
        <v>17777.69784172662</v>
      </c>
      <c r="Q65" s="116">
        <f aca="true" t="shared" si="6" ref="Q65:Q71">ROUND(M65/L65,2)</f>
        <v>1.97</v>
      </c>
      <c r="R65" s="92">
        <f aca="true" t="shared" si="7" ref="R65:R71">SUM(M65-T65)</f>
        <v>1151</v>
      </c>
      <c r="S65" s="93">
        <f aca="true" t="shared" si="8" ref="S65:S71">ROUND((R65/T65)*100,2)</f>
        <v>4.89</v>
      </c>
      <c r="T65" s="109">
        <v>23560</v>
      </c>
      <c r="U65" s="80"/>
      <c r="W65" s="481" t="s">
        <v>305</v>
      </c>
      <c r="X65" s="481"/>
      <c r="Y65" s="110">
        <f>SUM(Y66:Y71)</f>
        <v>1.387</v>
      </c>
      <c r="Z65" s="303">
        <f aca="true" t="shared" si="9" ref="Z65:Z71">ROUND(Y65,2)</f>
        <v>1.39</v>
      </c>
    </row>
    <row r="66" spans="2:26" ht="10.5" customHeight="1">
      <c r="B66" s="29"/>
      <c r="C66" s="59"/>
      <c r="D66" s="59"/>
      <c r="E66" s="59"/>
      <c r="F66" s="59"/>
      <c r="G66" s="482" t="s">
        <v>289</v>
      </c>
      <c r="H66" s="482"/>
      <c r="I66" s="482"/>
      <c r="J66" s="482"/>
      <c r="K66" s="305"/>
      <c r="L66" s="104">
        <v>2771</v>
      </c>
      <c r="M66" s="104">
        <v>4803</v>
      </c>
      <c r="N66" s="104">
        <v>2313</v>
      </c>
      <c r="O66" s="104">
        <v>2490</v>
      </c>
      <c r="P66" s="108">
        <f t="shared" si="5"/>
        <v>22871.428571428572</v>
      </c>
      <c r="Q66" s="117">
        <f t="shared" si="6"/>
        <v>1.73</v>
      </c>
      <c r="R66" s="87">
        <f t="shared" si="7"/>
        <v>712</v>
      </c>
      <c r="S66" s="90">
        <f t="shared" si="8"/>
        <v>17.4</v>
      </c>
      <c r="T66" s="104">
        <v>4091</v>
      </c>
      <c r="U66" s="52"/>
      <c r="W66" s="59"/>
      <c r="X66" s="82" t="s">
        <v>289</v>
      </c>
      <c r="Y66" s="111">
        <v>0.206</v>
      </c>
      <c r="Z66" s="48">
        <f t="shared" si="9"/>
        <v>0.21</v>
      </c>
    </row>
    <row r="67" spans="2:26" ht="10.5" customHeight="1">
      <c r="B67" s="29"/>
      <c r="C67" s="59"/>
      <c r="D67" s="59"/>
      <c r="E67" s="59"/>
      <c r="F67" s="59"/>
      <c r="G67" s="482" t="s">
        <v>290</v>
      </c>
      <c r="H67" s="482"/>
      <c r="I67" s="482"/>
      <c r="J67" s="482"/>
      <c r="K67" s="305"/>
      <c r="L67" s="104">
        <v>2251</v>
      </c>
      <c r="M67" s="104">
        <v>4601</v>
      </c>
      <c r="N67" s="104">
        <v>2245</v>
      </c>
      <c r="O67" s="104">
        <v>2356</v>
      </c>
      <c r="P67" s="108">
        <f t="shared" si="5"/>
        <v>19170.833333333336</v>
      </c>
      <c r="Q67" s="117">
        <f t="shared" si="6"/>
        <v>2.04</v>
      </c>
      <c r="R67" s="87">
        <f t="shared" si="7"/>
        <v>290</v>
      </c>
      <c r="S67" s="90">
        <f t="shared" si="8"/>
        <v>6.73</v>
      </c>
      <c r="T67" s="104">
        <v>4311</v>
      </c>
      <c r="U67" s="52"/>
      <c r="W67" s="59"/>
      <c r="X67" s="82" t="s">
        <v>290</v>
      </c>
      <c r="Y67" s="111">
        <v>0.244</v>
      </c>
      <c r="Z67" s="48">
        <f t="shared" si="9"/>
        <v>0.24</v>
      </c>
    </row>
    <row r="68" spans="2:26" ht="10.5" customHeight="1">
      <c r="B68" s="29"/>
      <c r="C68" s="59"/>
      <c r="D68" s="59"/>
      <c r="E68" s="59"/>
      <c r="F68" s="59"/>
      <c r="G68" s="482" t="s">
        <v>294</v>
      </c>
      <c r="H68" s="482"/>
      <c r="I68" s="482"/>
      <c r="J68" s="482"/>
      <c r="K68" s="305"/>
      <c r="L68" s="104">
        <v>2280</v>
      </c>
      <c r="M68" s="104">
        <v>4689</v>
      </c>
      <c r="N68" s="104">
        <v>2327</v>
      </c>
      <c r="O68" s="104">
        <v>2362</v>
      </c>
      <c r="P68" s="108">
        <f t="shared" si="5"/>
        <v>16168.96551724138</v>
      </c>
      <c r="Q68" s="117">
        <f t="shared" si="6"/>
        <v>2.06</v>
      </c>
      <c r="R68" s="87">
        <f t="shared" si="7"/>
        <v>29</v>
      </c>
      <c r="S68" s="90">
        <f t="shared" si="8"/>
        <v>0.62</v>
      </c>
      <c r="T68" s="104">
        <v>4660</v>
      </c>
      <c r="U68" s="52"/>
      <c r="W68" s="59"/>
      <c r="X68" s="82" t="s">
        <v>294</v>
      </c>
      <c r="Y68" s="111">
        <v>0.286</v>
      </c>
      <c r="Z68" s="48">
        <f t="shared" si="9"/>
        <v>0.29</v>
      </c>
    </row>
    <row r="69" spans="2:26" ht="10.5" customHeight="1">
      <c r="B69" s="29"/>
      <c r="C69" s="59"/>
      <c r="D69" s="59"/>
      <c r="E69" s="59"/>
      <c r="F69" s="59"/>
      <c r="G69" s="482" t="s">
        <v>297</v>
      </c>
      <c r="H69" s="482"/>
      <c r="I69" s="482"/>
      <c r="J69" s="482"/>
      <c r="K69" s="305"/>
      <c r="L69" s="104">
        <v>1840</v>
      </c>
      <c r="M69" s="104">
        <v>3283</v>
      </c>
      <c r="N69" s="104">
        <v>1588</v>
      </c>
      <c r="O69" s="104">
        <v>1695</v>
      </c>
      <c r="P69" s="108">
        <f t="shared" si="5"/>
        <v>21886.666666666668</v>
      </c>
      <c r="Q69" s="117">
        <f t="shared" si="6"/>
        <v>1.78</v>
      </c>
      <c r="R69" s="87">
        <f t="shared" si="7"/>
        <v>-8</v>
      </c>
      <c r="S69" s="90">
        <f t="shared" si="8"/>
        <v>-0.24</v>
      </c>
      <c r="T69" s="104">
        <v>3291</v>
      </c>
      <c r="U69" s="52"/>
      <c r="W69" s="29"/>
      <c r="X69" s="82" t="s">
        <v>297</v>
      </c>
      <c r="Y69" s="111">
        <v>0.151</v>
      </c>
      <c r="Z69" s="48">
        <f t="shared" si="9"/>
        <v>0.15</v>
      </c>
    </row>
    <row r="70" spans="2:26" ht="10.5" customHeight="1">
      <c r="B70" s="29"/>
      <c r="C70" s="59"/>
      <c r="D70" s="59"/>
      <c r="E70" s="59"/>
      <c r="F70" s="59"/>
      <c r="G70" s="482" t="s">
        <v>300</v>
      </c>
      <c r="H70" s="482"/>
      <c r="I70" s="482"/>
      <c r="J70" s="482"/>
      <c r="K70" s="305"/>
      <c r="L70" s="104">
        <v>1808</v>
      </c>
      <c r="M70" s="104">
        <v>3721</v>
      </c>
      <c r="N70" s="104">
        <v>1911</v>
      </c>
      <c r="O70" s="104">
        <v>1810</v>
      </c>
      <c r="P70" s="108">
        <f t="shared" si="5"/>
        <v>15504.166666666668</v>
      </c>
      <c r="Q70" s="117">
        <f t="shared" si="6"/>
        <v>2.06</v>
      </c>
      <c r="R70" s="87">
        <f t="shared" si="7"/>
        <v>22</v>
      </c>
      <c r="S70" s="90">
        <f t="shared" si="8"/>
        <v>0.59</v>
      </c>
      <c r="T70" s="104">
        <v>3699</v>
      </c>
      <c r="U70" s="52"/>
      <c r="W70" s="29"/>
      <c r="X70" s="82" t="s">
        <v>300</v>
      </c>
      <c r="Y70" s="111">
        <v>0.241</v>
      </c>
      <c r="Z70" s="48">
        <f t="shared" si="9"/>
        <v>0.24</v>
      </c>
    </row>
    <row r="71" spans="2:26" ht="10.5" customHeight="1">
      <c r="B71" s="29"/>
      <c r="C71" s="59"/>
      <c r="D71" s="59"/>
      <c r="E71" s="59"/>
      <c r="F71" s="59"/>
      <c r="G71" s="482" t="s">
        <v>301</v>
      </c>
      <c r="H71" s="482"/>
      <c r="I71" s="482"/>
      <c r="J71" s="482"/>
      <c r="K71" s="305"/>
      <c r="L71" s="104">
        <v>1598</v>
      </c>
      <c r="M71" s="104">
        <v>3614</v>
      </c>
      <c r="N71" s="104">
        <v>1760</v>
      </c>
      <c r="O71" s="104">
        <v>1854</v>
      </c>
      <c r="P71" s="108">
        <f t="shared" si="5"/>
        <v>13900</v>
      </c>
      <c r="Q71" s="117">
        <f t="shared" si="6"/>
        <v>2.26</v>
      </c>
      <c r="R71" s="87">
        <f t="shared" si="7"/>
        <v>106</v>
      </c>
      <c r="S71" s="90">
        <f t="shared" si="8"/>
        <v>3.02</v>
      </c>
      <c r="T71" s="104">
        <v>3508</v>
      </c>
      <c r="U71" s="52"/>
      <c r="W71" s="29"/>
      <c r="X71" s="82" t="s">
        <v>301</v>
      </c>
      <c r="Y71" s="111">
        <v>0.259</v>
      </c>
      <c r="Z71" s="48">
        <f t="shared" si="9"/>
        <v>0.26</v>
      </c>
    </row>
    <row r="72" spans="2:26" ht="6" customHeight="1">
      <c r="B72" s="29"/>
      <c r="C72" s="59"/>
      <c r="D72" s="59"/>
      <c r="E72" s="59"/>
      <c r="F72" s="59"/>
      <c r="G72" s="59"/>
      <c r="H72" s="59"/>
      <c r="I72" s="59"/>
      <c r="J72" s="59"/>
      <c r="K72" s="305"/>
      <c r="L72" s="104"/>
      <c r="M72" s="104"/>
      <c r="N72" s="104"/>
      <c r="O72" s="104"/>
      <c r="P72" s="108"/>
      <c r="Q72" s="117"/>
      <c r="R72" s="87"/>
      <c r="S72" s="90"/>
      <c r="T72" s="104"/>
      <c r="U72" s="52"/>
      <c r="W72" s="29"/>
      <c r="X72" s="59"/>
      <c r="Y72" s="111"/>
      <c r="Z72" s="48"/>
    </row>
    <row r="73" spans="2:26" s="30" customFormat="1" ht="10.5" customHeight="1">
      <c r="B73" s="31"/>
      <c r="C73" s="481" t="s">
        <v>306</v>
      </c>
      <c r="D73" s="481"/>
      <c r="E73" s="481"/>
      <c r="F73" s="481"/>
      <c r="G73" s="481"/>
      <c r="H73" s="481"/>
      <c r="I73" s="481"/>
      <c r="J73" s="481"/>
      <c r="K73" s="299"/>
      <c r="L73" s="109">
        <v>7722</v>
      </c>
      <c r="M73" s="109">
        <v>14159</v>
      </c>
      <c r="N73" s="109">
        <v>6975</v>
      </c>
      <c r="O73" s="109">
        <v>7184</v>
      </c>
      <c r="P73" s="107">
        <f>SUM(M73/Z73)</f>
        <v>17698.75</v>
      </c>
      <c r="Q73" s="116">
        <f>ROUND(M73/L73,2)</f>
        <v>1.83</v>
      </c>
      <c r="R73" s="92">
        <f>SUM(M73-T73)</f>
        <v>773</v>
      </c>
      <c r="S73" s="93">
        <f>ROUND((R73/T73)*100,2)</f>
        <v>5.77</v>
      </c>
      <c r="T73" s="109">
        <v>13386</v>
      </c>
      <c r="U73" s="80"/>
      <c r="W73" s="481" t="s">
        <v>306</v>
      </c>
      <c r="X73" s="481"/>
      <c r="Y73" s="110">
        <f>SUM(Y74:Y77)</f>
        <v>0.7949999999999999</v>
      </c>
      <c r="Z73" s="303">
        <f>ROUND(Y73,2)</f>
        <v>0.8</v>
      </c>
    </row>
    <row r="74" spans="2:26" ht="10.5" customHeight="1">
      <c r="B74" s="29"/>
      <c r="C74" s="59"/>
      <c r="D74" s="59"/>
      <c r="E74" s="59"/>
      <c r="F74" s="59"/>
      <c r="G74" s="482" t="s">
        <v>289</v>
      </c>
      <c r="H74" s="482"/>
      <c r="I74" s="482"/>
      <c r="J74" s="482"/>
      <c r="K74" s="305"/>
      <c r="L74" s="104">
        <v>2145</v>
      </c>
      <c r="M74" s="104">
        <v>3838</v>
      </c>
      <c r="N74" s="104">
        <v>1897</v>
      </c>
      <c r="O74" s="104">
        <v>1941</v>
      </c>
      <c r="P74" s="108">
        <f>SUM(M74/Z74)</f>
        <v>18276.190476190477</v>
      </c>
      <c r="Q74" s="117">
        <f>ROUND(M74/L74,2)</f>
        <v>1.79</v>
      </c>
      <c r="R74" s="87">
        <f>SUM(M74-T74)</f>
        <v>437</v>
      </c>
      <c r="S74" s="90">
        <f>ROUND((R74/T74)*100,2)</f>
        <v>12.85</v>
      </c>
      <c r="T74" s="104">
        <v>3401</v>
      </c>
      <c r="U74" s="52"/>
      <c r="W74" s="59"/>
      <c r="X74" s="82" t="s">
        <v>289</v>
      </c>
      <c r="Y74" s="111">
        <v>0.206</v>
      </c>
      <c r="Z74" s="48">
        <f>ROUND(Y74,2)</f>
        <v>0.21</v>
      </c>
    </row>
    <row r="75" spans="2:26" ht="10.5" customHeight="1">
      <c r="B75" s="29"/>
      <c r="C75" s="59"/>
      <c r="D75" s="59"/>
      <c r="E75" s="59"/>
      <c r="F75" s="59"/>
      <c r="G75" s="482" t="s">
        <v>290</v>
      </c>
      <c r="H75" s="482"/>
      <c r="I75" s="482"/>
      <c r="J75" s="482"/>
      <c r="K75" s="305"/>
      <c r="L75" s="104">
        <v>1642</v>
      </c>
      <c r="M75" s="104">
        <v>3164</v>
      </c>
      <c r="N75" s="104">
        <v>1523</v>
      </c>
      <c r="O75" s="104">
        <v>1641</v>
      </c>
      <c r="P75" s="108">
        <f>SUM(M75/Z75)</f>
        <v>11718.518518518518</v>
      </c>
      <c r="Q75" s="117">
        <f>ROUND(M75/L75,2)</f>
        <v>1.93</v>
      </c>
      <c r="R75" s="87">
        <f>SUM(M75-T75)</f>
        <v>73</v>
      </c>
      <c r="S75" s="90">
        <f>ROUND((R75/T75)*100,2)</f>
        <v>2.36</v>
      </c>
      <c r="T75" s="104">
        <v>3091</v>
      </c>
      <c r="U75" s="52"/>
      <c r="W75" s="59"/>
      <c r="X75" s="82" t="s">
        <v>290</v>
      </c>
      <c r="Y75" s="111">
        <v>0.268</v>
      </c>
      <c r="Z75" s="48">
        <f>ROUND(Y75,2)</f>
        <v>0.27</v>
      </c>
    </row>
    <row r="76" spans="2:26" ht="10.5" customHeight="1">
      <c r="B76" s="29"/>
      <c r="C76" s="59"/>
      <c r="D76" s="59"/>
      <c r="E76" s="59"/>
      <c r="F76" s="59"/>
      <c r="G76" s="482" t="s">
        <v>294</v>
      </c>
      <c r="H76" s="482"/>
      <c r="I76" s="482"/>
      <c r="J76" s="482"/>
      <c r="K76" s="305"/>
      <c r="L76" s="104">
        <v>2129</v>
      </c>
      <c r="M76" s="104">
        <v>3603</v>
      </c>
      <c r="N76" s="104">
        <v>1787</v>
      </c>
      <c r="O76" s="104">
        <v>1816</v>
      </c>
      <c r="P76" s="108">
        <f>SUM(M76/Z76)</f>
        <v>27715.384615384613</v>
      </c>
      <c r="Q76" s="117">
        <f>ROUND(M76/L76,2)</f>
        <v>1.69</v>
      </c>
      <c r="R76" s="87">
        <f>SUM(M76-T76)</f>
        <v>316</v>
      </c>
      <c r="S76" s="90">
        <f>ROUND((R76/T76)*100,2)</f>
        <v>9.61</v>
      </c>
      <c r="T76" s="104">
        <v>3287</v>
      </c>
      <c r="U76" s="52"/>
      <c r="W76" s="59"/>
      <c r="X76" s="82" t="s">
        <v>294</v>
      </c>
      <c r="Y76" s="111">
        <v>0.134</v>
      </c>
      <c r="Z76" s="48">
        <f>ROUND(Y76,2)</f>
        <v>0.13</v>
      </c>
    </row>
    <row r="77" spans="2:26" ht="10.5" customHeight="1">
      <c r="B77" s="29"/>
      <c r="C77" s="59"/>
      <c r="D77" s="59"/>
      <c r="E77" s="59"/>
      <c r="F77" s="59"/>
      <c r="G77" s="482" t="s">
        <v>297</v>
      </c>
      <c r="H77" s="482"/>
      <c r="I77" s="482"/>
      <c r="J77" s="482"/>
      <c r="K77" s="305"/>
      <c r="L77" s="104">
        <v>1806</v>
      </c>
      <c r="M77" s="104">
        <v>3554</v>
      </c>
      <c r="N77" s="104">
        <v>1768</v>
      </c>
      <c r="O77" s="104">
        <v>1786</v>
      </c>
      <c r="P77" s="108">
        <f>SUM(M77/Z77)</f>
        <v>18705.263157894737</v>
      </c>
      <c r="Q77" s="117">
        <f>ROUND(M77/L77,2)</f>
        <v>1.97</v>
      </c>
      <c r="R77" s="87">
        <f>SUM(M77-T77)</f>
        <v>-53</v>
      </c>
      <c r="S77" s="90">
        <f>ROUND((R77/T77)*100,2)</f>
        <v>-1.47</v>
      </c>
      <c r="T77" s="104">
        <v>3607</v>
      </c>
      <c r="U77" s="52"/>
      <c r="W77" s="29"/>
      <c r="X77" s="82" t="s">
        <v>297</v>
      </c>
      <c r="Y77" s="111">
        <v>0.187</v>
      </c>
      <c r="Z77" s="48">
        <f>ROUND(Y77,2)</f>
        <v>0.19</v>
      </c>
    </row>
    <row r="78" spans="2:26" ht="6" customHeight="1">
      <c r="B78" s="29"/>
      <c r="C78" s="59"/>
      <c r="D78" s="59"/>
      <c r="E78" s="59"/>
      <c r="F78" s="59"/>
      <c r="G78" s="59"/>
      <c r="H78" s="59"/>
      <c r="I78" s="59"/>
      <c r="J78" s="59"/>
      <c r="K78" s="305"/>
      <c r="L78" s="104"/>
      <c r="M78" s="104"/>
      <c r="N78" s="104"/>
      <c r="O78" s="104"/>
      <c r="P78" s="108"/>
      <c r="Q78" s="117"/>
      <c r="R78" s="87"/>
      <c r="S78" s="90"/>
      <c r="T78" s="104"/>
      <c r="U78" s="52"/>
      <c r="W78" s="29"/>
      <c r="X78" s="59"/>
      <c r="Y78" s="111"/>
      <c r="Z78" s="48"/>
    </row>
    <row r="79" spans="2:26" s="30" customFormat="1" ht="10.5" customHeight="1">
      <c r="B79" s="31"/>
      <c r="C79" s="481" t="s">
        <v>307</v>
      </c>
      <c r="D79" s="481"/>
      <c r="E79" s="481"/>
      <c r="F79" s="481"/>
      <c r="G79" s="481"/>
      <c r="H79" s="481"/>
      <c r="I79" s="481"/>
      <c r="J79" s="481"/>
      <c r="K79" s="299"/>
      <c r="L79" s="109">
        <v>4963</v>
      </c>
      <c r="M79" s="109">
        <v>10375</v>
      </c>
      <c r="N79" s="109">
        <v>5098</v>
      </c>
      <c r="O79" s="109">
        <v>5277</v>
      </c>
      <c r="P79" s="107">
        <f>SUM(M79/Z79)</f>
        <v>13651.315789473683</v>
      </c>
      <c r="Q79" s="116">
        <f>ROUND(M79/L79,2)</f>
        <v>2.09</v>
      </c>
      <c r="R79" s="92">
        <f>SUM(M79-T79)</f>
        <v>322</v>
      </c>
      <c r="S79" s="93">
        <f>ROUND((R79/T79)*100,2)</f>
        <v>3.2</v>
      </c>
      <c r="T79" s="109">
        <v>10053</v>
      </c>
      <c r="U79" s="80"/>
      <c r="W79" s="481" t="s">
        <v>307</v>
      </c>
      <c r="X79" s="481"/>
      <c r="Y79" s="110">
        <f>SUM(Y80:Y84)</f>
        <v>0.755</v>
      </c>
      <c r="Z79" s="303">
        <f>ROUND(Y79,2)</f>
        <v>0.76</v>
      </c>
    </row>
    <row r="80" spans="2:26" ht="10.5" customHeight="1">
      <c r="B80" s="29"/>
      <c r="C80" s="59"/>
      <c r="D80" s="59"/>
      <c r="E80" s="59"/>
      <c r="F80" s="59"/>
      <c r="G80" s="482" t="s">
        <v>289</v>
      </c>
      <c r="H80" s="482"/>
      <c r="I80" s="482"/>
      <c r="J80" s="482"/>
      <c r="K80" s="305"/>
      <c r="L80" s="104">
        <v>998</v>
      </c>
      <c r="M80" s="104">
        <v>1643</v>
      </c>
      <c r="N80" s="104">
        <v>833</v>
      </c>
      <c r="O80" s="104">
        <v>810</v>
      </c>
      <c r="P80" s="108">
        <f>SUM(M80/Z80)</f>
        <v>18255.555555555555</v>
      </c>
      <c r="Q80" s="117">
        <f>ROUND(M80/L80,2)</f>
        <v>1.65</v>
      </c>
      <c r="R80" s="87">
        <f>SUM(M80-T80)</f>
        <v>282</v>
      </c>
      <c r="S80" s="90">
        <f>ROUND((R80/T80)*100,2)</f>
        <v>20.72</v>
      </c>
      <c r="T80" s="104">
        <v>1361</v>
      </c>
      <c r="U80" s="52"/>
      <c r="W80" s="59"/>
      <c r="X80" s="82" t="s">
        <v>289</v>
      </c>
      <c r="Y80" s="111">
        <v>0.091</v>
      </c>
      <c r="Z80" s="48">
        <f>ROUND(Y80,2)</f>
        <v>0.09</v>
      </c>
    </row>
    <row r="81" spans="2:26" ht="10.5" customHeight="1">
      <c r="B81" s="29"/>
      <c r="C81" s="59"/>
      <c r="D81" s="59"/>
      <c r="E81" s="59"/>
      <c r="F81" s="59"/>
      <c r="G81" s="482" t="s">
        <v>290</v>
      </c>
      <c r="H81" s="482"/>
      <c r="I81" s="482"/>
      <c r="J81" s="482"/>
      <c r="K81" s="305"/>
      <c r="L81" s="104">
        <v>1065</v>
      </c>
      <c r="M81" s="104">
        <v>2348</v>
      </c>
      <c r="N81" s="104">
        <v>1166</v>
      </c>
      <c r="O81" s="104">
        <v>1182</v>
      </c>
      <c r="P81" s="108">
        <f>SUM(M81/Z81)</f>
        <v>14675</v>
      </c>
      <c r="Q81" s="117">
        <f>ROUND(M81/L81,2)</f>
        <v>2.2</v>
      </c>
      <c r="R81" s="87">
        <f>SUM(M81-T81)</f>
        <v>-69</v>
      </c>
      <c r="S81" s="90">
        <f>ROUND((R81/T81)*100,2)</f>
        <v>-2.85</v>
      </c>
      <c r="T81" s="104">
        <v>2417</v>
      </c>
      <c r="U81" s="52"/>
      <c r="W81" s="59"/>
      <c r="X81" s="82" t="s">
        <v>290</v>
      </c>
      <c r="Y81" s="111">
        <v>0.155</v>
      </c>
      <c r="Z81" s="48">
        <f>ROUND(Y81,2)</f>
        <v>0.16</v>
      </c>
    </row>
    <row r="82" spans="2:26" ht="10.5" customHeight="1">
      <c r="B82" s="29"/>
      <c r="C82" s="59"/>
      <c r="D82" s="59"/>
      <c r="E82" s="59"/>
      <c r="F82" s="59"/>
      <c r="G82" s="482" t="s">
        <v>294</v>
      </c>
      <c r="H82" s="482"/>
      <c r="I82" s="482"/>
      <c r="J82" s="482"/>
      <c r="K82" s="305"/>
      <c r="L82" s="104">
        <v>1121</v>
      </c>
      <c r="M82" s="104">
        <v>2464</v>
      </c>
      <c r="N82" s="104">
        <v>1179</v>
      </c>
      <c r="O82" s="104">
        <v>1285</v>
      </c>
      <c r="P82" s="108">
        <f>SUM(M82/Z82)</f>
        <v>8496.551724137931</v>
      </c>
      <c r="Q82" s="117">
        <f>ROUND(M82/L82,2)</f>
        <v>2.2</v>
      </c>
      <c r="R82" s="87">
        <f>SUM(M82-T82)</f>
        <v>-53</v>
      </c>
      <c r="S82" s="90">
        <f>ROUND((R82/T82)*100,2)</f>
        <v>-2.11</v>
      </c>
      <c r="T82" s="104">
        <v>2517</v>
      </c>
      <c r="U82" s="52"/>
      <c r="W82" s="59"/>
      <c r="X82" s="82" t="s">
        <v>294</v>
      </c>
      <c r="Y82" s="111">
        <v>0.286</v>
      </c>
      <c r="Z82" s="48">
        <f>ROUND(Y82,2)</f>
        <v>0.29</v>
      </c>
    </row>
    <row r="83" spans="2:26" ht="10.5" customHeight="1">
      <c r="B83" s="29"/>
      <c r="C83" s="59"/>
      <c r="D83" s="59"/>
      <c r="E83" s="59"/>
      <c r="F83" s="59"/>
      <c r="G83" s="482" t="s">
        <v>297</v>
      </c>
      <c r="H83" s="482"/>
      <c r="I83" s="482"/>
      <c r="J83" s="482"/>
      <c r="K83" s="305"/>
      <c r="L83" s="104">
        <v>1779</v>
      </c>
      <c r="M83" s="104">
        <v>3920</v>
      </c>
      <c r="N83" s="104">
        <v>1920</v>
      </c>
      <c r="O83" s="104">
        <v>2000</v>
      </c>
      <c r="P83" s="108">
        <f>SUM(M83/Z83)</f>
        <v>17818.18181818182</v>
      </c>
      <c r="Q83" s="117">
        <f>ROUND(M83/L83,2)</f>
        <v>2.2</v>
      </c>
      <c r="R83" s="87">
        <f>SUM(M83-T83)</f>
        <v>162</v>
      </c>
      <c r="S83" s="90">
        <f>ROUND((R83/T83)*100,2)</f>
        <v>4.31</v>
      </c>
      <c r="T83" s="104">
        <v>3758</v>
      </c>
      <c r="U83" s="53"/>
      <c r="W83" s="29"/>
      <c r="X83" s="82" t="s">
        <v>297</v>
      </c>
      <c r="Y83" s="111">
        <v>0.223</v>
      </c>
      <c r="Z83" s="48">
        <f>ROUND(Y83,2)</f>
        <v>0.22</v>
      </c>
    </row>
    <row r="84" spans="2:21" s="29" customFormat="1" ht="10.5" customHeight="1">
      <c r="B84" s="32"/>
      <c r="C84" s="32"/>
      <c r="D84" s="32"/>
      <c r="E84" s="32"/>
      <c r="F84" s="32"/>
      <c r="G84" s="32"/>
      <c r="H84" s="32"/>
      <c r="I84" s="32"/>
      <c r="J84" s="32"/>
      <c r="K84" s="153"/>
      <c r="L84" s="32"/>
      <c r="M84" s="32"/>
      <c r="N84" s="32"/>
      <c r="O84" s="32"/>
      <c r="P84" s="32"/>
      <c r="Q84" s="86"/>
      <c r="R84" s="88"/>
      <c r="S84" s="91"/>
      <c r="T84" s="64"/>
      <c r="U84" s="46"/>
    </row>
    <row r="85" spans="2:6" ht="10.5" customHeight="1">
      <c r="B85" s="473" t="s">
        <v>192</v>
      </c>
      <c r="C85" s="473"/>
      <c r="D85" s="473"/>
      <c r="E85" s="25" t="s">
        <v>148</v>
      </c>
      <c r="F85" s="216" t="s">
        <v>484</v>
      </c>
    </row>
    <row r="86" ht="15.75" customHeight="1"/>
    <row r="87" ht="15.75" customHeight="1"/>
    <row r="88" ht="15.75" customHeight="1"/>
    <row r="89" ht="15.75" customHeight="1"/>
    <row r="90" ht="15.75" customHeight="1"/>
    <row r="91" ht="15.75" customHeight="1"/>
    <row r="92" ht="15.75" customHeight="1"/>
    <row r="93" spans="12:15" ht="15.75" customHeight="1">
      <c r="L93" s="106"/>
      <c r="M93" s="106"/>
      <c r="N93" s="106"/>
      <c r="O93" s="106"/>
    </row>
    <row r="94" spans="3:15" ht="11.25">
      <c r="C94" s="474" t="s">
        <v>320</v>
      </c>
      <c r="D94" s="474"/>
      <c r="E94" s="474"/>
      <c r="F94" s="474"/>
      <c r="G94" s="474"/>
      <c r="H94" s="474"/>
      <c r="I94" s="474"/>
      <c r="J94" s="474"/>
      <c r="L94" s="106">
        <f>SUM(L11,L15,L19,L21,L26,L30,L36,L41,L49,L54,L59,L65,L73,L79)</f>
        <v>75784</v>
      </c>
      <c r="M94" s="106">
        <f>SUM(M11,M15,M19,M21,M26,M30,M36,M41,M49,M54,M59,M65,M73,M79)</f>
        <v>144066</v>
      </c>
      <c r="N94" s="106">
        <f>SUM(N11,N15,N19,N21,N26,N30,N36,N41,N49,N54,N59,N65,N73,N79)</f>
        <v>70962</v>
      </c>
      <c r="O94" s="106">
        <f>SUM(O11,O15,O19,O21,O26,O30,O36,O41,O49,O54,O59,O65,O73,O79)</f>
        <v>73104</v>
      </c>
    </row>
    <row r="95" spans="3:15" ht="11.25">
      <c r="C95" s="474" t="s">
        <v>29</v>
      </c>
      <c r="D95" s="474"/>
      <c r="E95" s="474"/>
      <c r="F95" s="474"/>
      <c r="G95" s="474"/>
      <c r="H95" s="474"/>
      <c r="I95" s="474"/>
      <c r="J95" s="474"/>
      <c r="L95" s="239">
        <v>82038</v>
      </c>
      <c r="M95" s="239">
        <v>190928</v>
      </c>
      <c r="N95" s="239">
        <v>95151</v>
      </c>
      <c r="O95" s="239">
        <v>95777</v>
      </c>
    </row>
    <row r="96" spans="3:15" ht="11.25">
      <c r="C96" s="474" t="s">
        <v>30</v>
      </c>
      <c r="D96" s="474"/>
      <c r="E96" s="474"/>
      <c r="F96" s="474"/>
      <c r="G96" s="474"/>
      <c r="H96" s="474"/>
      <c r="I96" s="474"/>
      <c r="J96" s="474"/>
      <c r="L96" s="239">
        <v>70914</v>
      </c>
      <c r="M96" s="239">
        <v>159161</v>
      </c>
      <c r="N96" s="239">
        <v>78942</v>
      </c>
      <c r="O96" s="239">
        <v>80219</v>
      </c>
    </row>
    <row r="97" spans="3:15" ht="11.25">
      <c r="C97" s="474" t="s">
        <v>31</v>
      </c>
      <c r="D97" s="474"/>
      <c r="E97" s="474"/>
      <c r="F97" s="474"/>
      <c r="G97" s="474"/>
      <c r="H97" s="474"/>
      <c r="I97" s="474"/>
      <c r="J97" s="474"/>
      <c r="L97" s="239">
        <v>83476</v>
      </c>
      <c r="M97" s="239">
        <v>198184</v>
      </c>
      <c r="N97" s="239">
        <v>97512</v>
      </c>
      <c r="O97" s="239">
        <v>100672</v>
      </c>
    </row>
    <row r="99" spans="12:15" ht="11.25">
      <c r="L99" s="106">
        <f>SUM(L94:L97)</f>
        <v>312212</v>
      </c>
      <c r="M99" s="106">
        <f>SUM(M94:M97)</f>
        <v>692339</v>
      </c>
      <c r="N99" s="106">
        <f>SUM(N94:N97)</f>
        <v>342567</v>
      </c>
      <c r="O99" s="106">
        <f>SUM(O94:O97)</f>
        <v>349772</v>
      </c>
    </row>
  </sheetData>
  <sheetProtection/>
  <mergeCells count="87">
    <mergeCell ref="C97:J97"/>
    <mergeCell ref="G81:J81"/>
    <mergeCell ref="G82:J82"/>
    <mergeCell ref="G83:J83"/>
    <mergeCell ref="B85:D85"/>
    <mergeCell ref="C94:J94"/>
    <mergeCell ref="C95:J95"/>
    <mergeCell ref="C96:J96"/>
    <mergeCell ref="G80:J80"/>
    <mergeCell ref="G77:J77"/>
    <mergeCell ref="W65:X65"/>
    <mergeCell ref="G66:J66"/>
    <mergeCell ref="W79:X79"/>
    <mergeCell ref="G69:J69"/>
    <mergeCell ref="C65:J65"/>
    <mergeCell ref="W73:X73"/>
    <mergeCell ref="G74:J74"/>
    <mergeCell ref="G75:J75"/>
    <mergeCell ref="C79:J79"/>
    <mergeCell ref="G62:J62"/>
    <mergeCell ref="G67:J67"/>
    <mergeCell ref="G68:J68"/>
    <mergeCell ref="G70:J70"/>
    <mergeCell ref="G71:J71"/>
    <mergeCell ref="C73:J73"/>
    <mergeCell ref="G76:J76"/>
    <mergeCell ref="G52:J52"/>
    <mergeCell ref="G57:J57"/>
    <mergeCell ref="C59:J59"/>
    <mergeCell ref="G63:J63"/>
    <mergeCell ref="G60:J60"/>
    <mergeCell ref="G61:J61"/>
    <mergeCell ref="W54:X54"/>
    <mergeCell ref="W59:X59"/>
    <mergeCell ref="C54:J54"/>
    <mergeCell ref="G45:J45"/>
    <mergeCell ref="G46:J46"/>
    <mergeCell ref="G47:J47"/>
    <mergeCell ref="C49:J49"/>
    <mergeCell ref="G55:J55"/>
    <mergeCell ref="G56:J56"/>
    <mergeCell ref="G51:J51"/>
    <mergeCell ref="W36:X36"/>
    <mergeCell ref="W49:X49"/>
    <mergeCell ref="G50:J50"/>
    <mergeCell ref="G39:J39"/>
    <mergeCell ref="C41:J41"/>
    <mergeCell ref="W41:X41"/>
    <mergeCell ref="G42:J42"/>
    <mergeCell ref="G43:J43"/>
    <mergeCell ref="G44:J44"/>
    <mergeCell ref="G37:J37"/>
    <mergeCell ref="C26:J26"/>
    <mergeCell ref="G31:J31"/>
    <mergeCell ref="G27:J27"/>
    <mergeCell ref="G28:J28"/>
    <mergeCell ref="C30:J30"/>
    <mergeCell ref="G38:J38"/>
    <mergeCell ref="G34:J34"/>
    <mergeCell ref="C36:J36"/>
    <mergeCell ref="G32:J32"/>
    <mergeCell ref="G33:J33"/>
    <mergeCell ref="W26:X26"/>
    <mergeCell ref="G16:J16"/>
    <mergeCell ref="G17:J17"/>
    <mergeCell ref="W30:X30"/>
    <mergeCell ref="C19:J19"/>
    <mergeCell ref="W19:X19"/>
    <mergeCell ref="W21:X21"/>
    <mergeCell ref="G22:J22"/>
    <mergeCell ref="G23:J23"/>
    <mergeCell ref="G24:J24"/>
    <mergeCell ref="W15:X15"/>
    <mergeCell ref="C9:J9"/>
    <mergeCell ref="W9:X9"/>
    <mergeCell ref="C11:J11"/>
    <mergeCell ref="W11:X11"/>
    <mergeCell ref="C21:J21"/>
    <mergeCell ref="G12:J12"/>
    <mergeCell ref="G13:J13"/>
    <mergeCell ref="C15:J15"/>
    <mergeCell ref="W6:Z6"/>
    <mergeCell ref="B3:T3"/>
    <mergeCell ref="B5:K6"/>
    <mergeCell ref="L5:L6"/>
    <mergeCell ref="M5:O5"/>
    <mergeCell ref="R5:S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19" ht="10.5" customHeight="1">
      <c r="A1" s="331" t="s">
        <v>490</v>
      </c>
      <c r="R1" s="70"/>
      <c r="S1" s="70"/>
    </row>
    <row r="2" ht="10.5" customHeight="1"/>
    <row r="3" spans="2:28" s="38" customFormat="1" ht="18" customHeight="1">
      <c r="B3" s="483" t="s">
        <v>513</v>
      </c>
      <c r="C3" s="483"/>
      <c r="D3" s="483"/>
      <c r="E3" s="483"/>
      <c r="F3" s="483"/>
      <c r="G3" s="483"/>
      <c r="H3" s="483"/>
      <c r="I3" s="483"/>
      <c r="J3" s="483"/>
      <c r="K3" s="483"/>
      <c r="L3" s="483"/>
      <c r="M3" s="483"/>
      <c r="N3" s="483"/>
      <c r="O3" s="483"/>
      <c r="P3" s="483"/>
      <c r="Q3" s="483"/>
      <c r="R3" s="483"/>
      <c r="S3" s="483"/>
      <c r="U3" s="306"/>
      <c r="V3" s="306"/>
      <c r="W3" s="306"/>
      <c r="X3" s="306"/>
      <c r="Y3" s="306"/>
      <c r="Z3" s="306"/>
      <c r="AA3" s="306"/>
      <c r="AB3" s="306"/>
    </row>
    <row r="4" spans="2:28" ht="12.75" customHeight="1">
      <c r="B4" s="29"/>
      <c r="R4" s="29"/>
      <c r="S4" s="1"/>
      <c r="U4" s="29"/>
      <c r="V4" s="29"/>
      <c r="W4" s="29"/>
      <c r="X4" s="29"/>
      <c r="Y4" s="29"/>
      <c r="Z4" s="29"/>
      <c r="AA4" s="29"/>
      <c r="AB4" s="29"/>
    </row>
    <row r="5" spans="2:28" ht="13.5" customHeight="1">
      <c r="B5" s="475" t="s">
        <v>284</v>
      </c>
      <c r="C5" s="476"/>
      <c r="D5" s="476"/>
      <c r="E5" s="476"/>
      <c r="F5" s="476"/>
      <c r="G5" s="476"/>
      <c r="H5" s="476"/>
      <c r="I5" s="476"/>
      <c r="J5" s="476"/>
      <c r="K5" s="476" t="s">
        <v>185</v>
      </c>
      <c r="L5" s="476" t="s">
        <v>175</v>
      </c>
      <c r="M5" s="476"/>
      <c r="N5" s="476"/>
      <c r="O5" s="179" t="s">
        <v>179</v>
      </c>
      <c r="P5" s="179" t="s">
        <v>348</v>
      </c>
      <c r="Q5" s="476" t="s">
        <v>285</v>
      </c>
      <c r="R5" s="476"/>
      <c r="S5" s="183" t="s">
        <v>500</v>
      </c>
      <c r="T5" s="50"/>
      <c r="U5" s="29"/>
      <c r="V5"/>
      <c r="W5"/>
      <c r="X5" s="29"/>
      <c r="Y5" s="29"/>
      <c r="Z5" s="29"/>
      <c r="AA5" s="29"/>
      <c r="AB5" s="29"/>
    </row>
    <row r="6" spans="2:28" ht="13.5" customHeight="1">
      <c r="B6" s="478"/>
      <c r="C6" s="479"/>
      <c r="D6" s="479"/>
      <c r="E6" s="479"/>
      <c r="F6" s="479"/>
      <c r="G6" s="479"/>
      <c r="H6" s="479"/>
      <c r="I6" s="479"/>
      <c r="J6" s="479"/>
      <c r="K6" s="479"/>
      <c r="L6" s="145" t="s">
        <v>363</v>
      </c>
      <c r="M6" s="160" t="s">
        <v>182</v>
      </c>
      <c r="N6" s="160" t="s">
        <v>183</v>
      </c>
      <c r="O6" s="180" t="s">
        <v>184</v>
      </c>
      <c r="P6" s="180" t="s">
        <v>508</v>
      </c>
      <c r="Q6" s="145" t="s">
        <v>286</v>
      </c>
      <c r="R6" s="146" t="s">
        <v>287</v>
      </c>
      <c r="S6" s="184" t="s">
        <v>511</v>
      </c>
      <c r="T6" s="50"/>
      <c r="U6" s="29"/>
      <c r="V6"/>
      <c r="W6"/>
      <c r="X6" s="29"/>
      <c r="Y6" s="29"/>
      <c r="Z6" s="29"/>
      <c r="AA6" s="29"/>
      <c r="AB6" s="29"/>
    </row>
    <row r="7" spans="3:28" ht="10.5" customHeight="1">
      <c r="C7" s="39"/>
      <c r="D7" s="39"/>
      <c r="E7" s="39"/>
      <c r="F7" s="39"/>
      <c r="G7" s="39"/>
      <c r="H7" s="39"/>
      <c r="I7" s="39"/>
      <c r="J7" s="307"/>
      <c r="K7" s="224"/>
      <c r="L7" s="201"/>
      <c r="M7" s="28"/>
      <c r="N7" s="28"/>
      <c r="O7" s="28"/>
      <c r="P7" s="28"/>
      <c r="Q7" s="39"/>
      <c r="R7" s="1" t="s">
        <v>512</v>
      </c>
      <c r="S7" s="50"/>
      <c r="T7" s="28"/>
      <c r="U7" s="29"/>
      <c r="V7" s="39"/>
      <c r="W7" s="39"/>
      <c r="X7" s="29"/>
      <c r="Y7" s="29"/>
      <c r="Z7" s="29"/>
      <c r="AA7" s="29"/>
      <c r="AB7" s="29"/>
    </row>
    <row r="8" spans="10:28" ht="9" customHeight="1">
      <c r="J8" s="149"/>
      <c r="K8" s="29"/>
      <c r="L8" s="29"/>
      <c r="U8" s="29"/>
      <c r="V8" s="29"/>
      <c r="W8" s="29"/>
      <c r="X8" s="29"/>
      <c r="Y8" s="29"/>
      <c r="Z8" s="29"/>
      <c r="AA8" s="29"/>
      <c r="AB8" s="29"/>
    </row>
    <row r="9" spans="3:28" s="30" customFormat="1" ht="10.5" customHeight="1">
      <c r="C9" s="481" t="s">
        <v>308</v>
      </c>
      <c r="D9" s="481"/>
      <c r="E9" s="481"/>
      <c r="F9" s="481"/>
      <c r="G9" s="481"/>
      <c r="H9" s="481"/>
      <c r="I9" s="481"/>
      <c r="J9" s="299"/>
      <c r="K9" s="102">
        <v>9190</v>
      </c>
      <c r="L9" s="102">
        <v>18722</v>
      </c>
      <c r="M9" s="102">
        <v>9443</v>
      </c>
      <c r="N9" s="102">
        <v>9279</v>
      </c>
      <c r="O9" s="112">
        <f aca="true" t="shared" si="0" ref="O9:O14">SUM(L9/Y9)</f>
        <v>17497.196261682242</v>
      </c>
      <c r="P9" s="114">
        <f aca="true" t="shared" si="1" ref="P9:P14">ROUND(L9/K9,2)</f>
        <v>2.04</v>
      </c>
      <c r="Q9" s="97">
        <f aca="true" t="shared" si="2" ref="Q9:Q14">SUM(L9-S9)</f>
        <v>895</v>
      </c>
      <c r="R9" s="93">
        <f aca="true" t="shared" si="3" ref="R9:R14">ROUND((Q9/S9)*100,2)</f>
        <v>5.02</v>
      </c>
      <c r="S9" s="102">
        <v>17827</v>
      </c>
      <c r="U9" s="31"/>
      <c r="V9" s="481" t="s">
        <v>308</v>
      </c>
      <c r="W9" s="481"/>
      <c r="X9" s="110">
        <f>SUM(X10:X14)</f>
        <v>1.071</v>
      </c>
      <c r="Y9" s="303">
        <f aca="true" t="shared" si="4" ref="Y9:Y14">ROUND(X9,2)</f>
        <v>1.07</v>
      </c>
      <c r="Z9" s="31"/>
      <c r="AA9" s="31"/>
      <c r="AB9" s="31"/>
    </row>
    <row r="10" spans="3:28" ht="10.5" customHeight="1">
      <c r="C10" s="59"/>
      <c r="D10" s="59"/>
      <c r="E10" s="59"/>
      <c r="F10" s="482" t="s">
        <v>289</v>
      </c>
      <c r="G10" s="482"/>
      <c r="H10" s="482"/>
      <c r="I10" s="482"/>
      <c r="J10" s="305"/>
      <c r="K10" s="103">
        <v>2035</v>
      </c>
      <c r="L10" s="103">
        <v>4039</v>
      </c>
      <c r="M10" s="103">
        <v>2001</v>
      </c>
      <c r="N10" s="103">
        <v>2038</v>
      </c>
      <c r="O10" s="113">
        <f t="shared" si="0"/>
        <v>19233.333333333336</v>
      </c>
      <c r="P10" s="115">
        <f t="shared" si="1"/>
        <v>1.98</v>
      </c>
      <c r="Q10" s="60">
        <f t="shared" si="2"/>
        <v>272</v>
      </c>
      <c r="R10" s="90">
        <f t="shared" si="3"/>
        <v>7.22</v>
      </c>
      <c r="S10" s="103">
        <v>3767</v>
      </c>
      <c r="U10" s="29"/>
      <c r="V10" s="59"/>
      <c r="W10" s="82" t="s">
        <v>289</v>
      </c>
      <c r="X10" s="111">
        <v>0.207</v>
      </c>
      <c r="Y10" s="48">
        <f t="shared" si="4"/>
        <v>0.21</v>
      </c>
      <c r="Z10" s="29"/>
      <c r="AA10" s="29"/>
      <c r="AB10" s="29"/>
    </row>
    <row r="11" spans="3:28" ht="10.5" customHeight="1">
      <c r="C11" s="59"/>
      <c r="D11" s="59"/>
      <c r="E11" s="59"/>
      <c r="F11" s="482" t="s">
        <v>290</v>
      </c>
      <c r="G11" s="482"/>
      <c r="H11" s="482"/>
      <c r="I11" s="482"/>
      <c r="J11" s="305"/>
      <c r="K11" s="103">
        <v>1884</v>
      </c>
      <c r="L11" s="103">
        <v>3516</v>
      </c>
      <c r="M11" s="103">
        <v>1822</v>
      </c>
      <c r="N11" s="103">
        <v>1694</v>
      </c>
      <c r="O11" s="113">
        <f t="shared" si="0"/>
        <v>19533.333333333336</v>
      </c>
      <c r="P11" s="115">
        <f t="shared" si="1"/>
        <v>1.87</v>
      </c>
      <c r="Q11" s="60">
        <f t="shared" si="2"/>
        <v>420</v>
      </c>
      <c r="R11" s="90">
        <f t="shared" si="3"/>
        <v>13.57</v>
      </c>
      <c r="S11" s="103">
        <v>3096</v>
      </c>
      <c r="U11" s="29"/>
      <c r="V11" s="59"/>
      <c r="W11" s="82" t="s">
        <v>290</v>
      </c>
      <c r="X11" s="111">
        <v>0.184</v>
      </c>
      <c r="Y11" s="48">
        <f t="shared" si="4"/>
        <v>0.18</v>
      </c>
      <c r="Z11" s="29"/>
      <c r="AA11" s="29"/>
      <c r="AB11" s="29"/>
    </row>
    <row r="12" spans="3:28" ht="10.5" customHeight="1">
      <c r="C12" s="59"/>
      <c r="D12" s="59"/>
      <c r="E12" s="59"/>
      <c r="F12" s="482" t="s">
        <v>294</v>
      </c>
      <c r="G12" s="482"/>
      <c r="H12" s="482"/>
      <c r="I12" s="482"/>
      <c r="J12" s="305"/>
      <c r="K12" s="103">
        <v>2183</v>
      </c>
      <c r="L12" s="103">
        <v>4693</v>
      </c>
      <c r="M12" s="103">
        <v>2312</v>
      </c>
      <c r="N12" s="103">
        <v>2381</v>
      </c>
      <c r="O12" s="113">
        <f t="shared" si="0"/>
        <v>17381.48148148148</v>
      </c>
      <c r="P12" s="115">
        <f t="shared" si="1"/>
        <v>2.15</v>
      </c>
      <c r="Q12" s="60">
        <f t="shared" si="2"/>
        <v>116</v>
      </c>
      <c r="R12" s="90">
        <f t="shared" si="3"/>
        <v>2.53</v>
      </c>
      <c r="S12" s="103">
        <v>4577</v>
      </c>
      <c r="U12" s="29"/>
      <c r="V12" s="59"/>
      <c r="W12" s="82" t="s">
        <v>294</v>
      </c>
      <c r="X12" s="111">
        <v>0.267</v>
      </c>
      <c r="Y12" s="48">
        <f t="shared" si="4"/>
        <v>0.27</v>
      </c>
      <c r="Z12" s="29"/>
      <c r="AA12" s="29"/>
      <c r="AB12" s="29"/>
    </row>
    <row r="13" spans="3:28" ht="10.5" customHeight="1">
      <c r="C13" s="59"/>
      <c r="D13" s="59"/>
      <c r="E13" s="59"/>
      <c r="F13" s="482" t="s">
        <v>297</v>
      </c>
      <c r="G13" s="482"/>
      <c r="H13" s="482"/>
      <c r="I13" s="482"/>
      <c r="J13" s="305"/>
      <c r="K13" s="103">
        <v>1872</v>
      </c>
      <c r="L13" s="103">
        <v>4190</v>
      </c>
      <c r="M13" s="103">
        <v>2117</v>
      </c>
      <c r="N13" s="103">
        <v>2073</v>
      </c>
      <c r="O13" s="113">
        <f t="shared" si="0"/>
        <v>15518.518518518518</v>
      </c>
      <c r="P13" s="115">
        <f t="shared" si="1"/>
        <v>2.24</v>
      </c>
      <c r="Q13" s="60">
        <f t="shared" si="2"/>
        <v>109</v>
      </c>
      <c r="R13" s="90">
        <f t="shared" si="3"/>
        <v>2.67</v>
      </c>
      <c r="S13" s="103">
        <v>4081</v>
      </c>
      <c r="U13" s="29"/>
      <c r="V13" s="59"/>
      <c r="W13" s="82" t="s">
        <v>297</v>
      </c>
      <c r="X13" s="111">
        <v>0.267</v>
      </c>
      <c r="Y13" s="48">
        <f t="shared" si="4"/>
        <v>0.27</v>
      </c>
      <c r="Z13" s="29"/>
      <c r="AA13" s="29"/>
      <c r="AB13" s="29"/>
    </row>
    <row r="14" spans="3:28" ht="10.5" customHeight="1">
      <c r="C14" s="59"/>
      <c r="D14" s="59"/>
      <c r="E14" s="59"/>
      <c r="F14" s="482" t="s">
        <v>300</v>
      </c>
      <c r="G14" s="482"/>
      <c r="H14" s="482"/>
      <c r="I14" s="482"/>
      <c r="J14" s="305"/>
      <c r="K14" s="103">
        <v>1216</v>
      </c>
      <c r="L14" s="103">
        <v>2284</v>
      </c>
      <c r="M14" s="103">
        <v>1191</v>
      </c>
      <c r="N14" s="103">
        <v>1093</v>
      </c>
      <c r="O14" s="113">
        <f t="shared" si="0"/>
        <v>15226.666666666668</v>
      </c>
      <c r="P14" s="115">
        <f t="shared" si="1"/>
        <v>1.88</v>
      </c>
      <c r="Q14" s="60">
        <f t="shared" si="2"/>
        <v>-22</v>
      </c>
      <c r="R14" s="90">
        <f t="shared" si="3"/>
        <v>-0.95</v>
      </c>
      <c r="S14" s="103">
        <v>2306</v>
      </c>
      <c r="U14" s="29"/>
      <c r="V14" s="59"/>
      <c r="W14" s="82" t="s">
        <v>300</v>
      </c>
      <c r="X14" s="111">
        <v>0.146</v>
      </c>
      <c r="Y14" s="48">
        <f t="shared" si="4"/>
        <v>0.15</v>
      </c>
      <c r="Z14" s="29"/>
      <c r="AA14" s="29"/>
      <c r="AB14" s="29"/>
    </row>
    <row r="15" spans="3:28" ht="9" customHeight="1">
      <c r="C15" s="59"/>
      <c r="D15" s="59"/>
      <c r="E15" s="59"/>
      <c r="F15" s="59"/>
      <c r="G15" s="59"/>
      <c r="H15" s="59"/>
      <c r="I15" s="59"/>
      <c r="J15" s="305"/>
      <c r="K15" s="103"/>
      <c r="L15" s="103"/>
      <c r="M15" s="103"/>
      <c r="N15" s="103"/>
      <c r="O15" s="113"/>
      <c r="P15" s="115"/>
      <c r="Q15" s="60"/>
      <c r="R15" s="61"/>
      <c r="S15" s="103"/>
      <c r="U15" s="29"/>
      <c r="V15" s="59"/>
      <c r="W15" s="59"/>
      <c r="X15" s="111"/>
      <c r="Y15" s="48"/>
      <c r="Z15" s="29"/>
      <c r="AA15" s="29"/>
      <c r="AB15" s="29"/>
    </row>
    <row r="16" spans="3:28" s="30" customFormat="1" ht="10.5" customHeight="1">
      <c r="C16" s="481" t="s">
        <v>309</v>
      </c>
      <c r="D16" s="481"/>
      <c r="E16" s="481"/>
      <c r="F16" s="481"/>
      <c r="G16" s="481"/>
      <c r="H16" s="481"/>
      <c r="I16" s="481"/>
      <c r="J16" s="299"/>
      <c r="K16" s="102">
        <v>2551</v>
      </c>
      <c r="L16" s="102">
        <v>5565</v>
      </c>
      <c r="M16" s="102">
        <v>2795</v>
      </c>
      <c r="N16" s="102">
        <v>2770</v>
      </c>
      <c r="O16" s="112">
        <f>SUM(L16/Y16)</f>
        <v>15900.000000000002</v>
      </c>
      <c r="P16" s="114">
        <f>ROUND(L16/K16,2)</f>
        <v>2.18</v>
      </c>
      <c r="Q16" s="97">
        <f>SUM(L16-S16)</f>
        <v>23</v>
      </c>
      <c r="R16" s="93">
        <f>ROUND((Q16/S16)*100,2)</f>
        <v>0.42</v>
      </c>
      <c r="S16" s="102">
        <v>5542</v>
      </c>
      <c r="U16" s="31"/>
      <c r="V16" s="481" t="s">
        <v>309</v>
      </c>
      <c r="W16" s="481"/>
      <c r="X16" s="110">
        <f>SUM(X17:X18)</f>
        <v>0.353</v>
      </c>
      <c r="Y16" s="303">
        <f>ROUND(X16,2)</f>
        <v>0.35</v>
      </c>
      <c r="Z16" s="31"/>
      <c r="AA16" s="31"/>
      <c r="AB16" s="31"/>
    </row>
    <row r="17" spans="3:28" ht="10.5" customHeight="1">
      <c r="C17" s="59"/>
      <c r="D17" s="59"/>
      <c r="E17" s="59"/>
      <c r="F17" s="482" t="s">
        <v>289</v>
      </c>
      <c r="G17" s="482"/>
      <c r="H17" s="482"/>
      <c r="I17" s="482"/>
      <c r="J17" s="305"/>
      <c r="K17" s="103">
        <v>1496</v>
      </c>
      <c r="L17" s="103">
        <v>3302</v>
      </c>
      <c r="M17" s="103">
        <v>1621</v>
      </c>
      <c r="N17" s="103">
        <v>1681</v>
      </c>
      <c r="O17" s="113">
        <f>SUM(L17/Y17)</f>
        <v>16510</v>
      </c>
      <c r="P17" s="115">
        <f>ROUND(L17/K17,2)</f>
        <v>2.21</v>
      </c>
      <c r="Q17" s="60">
        <f>SUM(L17-S17)</f>
        <v>-129</v>
      </c>
      <c r="R17" s="90">
        <f>ROUND((Q17/S17)*100,2)</f>
        <v>-3.76</v>
      </c>
      <c r="S17" s="103">
        <v>3431</v>
      </c>
      <c r="U17" s="29"/>
      <c r="V17" s="59"/>
      <c r="W17" s="82" t="s">
        <v>289</v>
      </c>
      <c r="X17" s="111">
        <v>0.201</v>
      </c>
      <c r="Y17" s="48">
        <f>ROUND(X17,2)</f>
        <v>0.2</v>
      </c>
      <c r="Z17" s="29"/>
      <c r="AA17" s="29"/>
      <c r="AB17" s="29"/>
    </row>
    <row r="18" spans="3:28" ht="10.5" customHeight="1">
      <c r="C18" s="59"/>
      <c r="D18" s="59"/>
      <c r="E18" s="59"/>
      <c r="F18" s="482" t="s">
        <v>290</v>
      </c>
      <c r="G18" s="482"/>
      <c r="H18" s="482"/>
      <c r="I18" s="482"/>
      <c r="J18" s="305"/>
      <c r="K18" s="103">
        <v>1055</v>
      </c>
      <c r="L18" s="103">
        <v>2263</v>
      </c>
      <c r="M18" s="103">
        <v>1174</v>
      </c>
      <c r="N18" s="103">
        <v>1089</v>
      </c>
      <c r="O18" s="113">
        <f>SUM(L18/Y18)</f>
        <v>15086.666666666668</v>
      </c>
      <c r="P18" s="115">
        <f>ROUND(L18/K18,2)</f>
        <v>2.15</v>
      </c>
      <c r="Q18" s="60">
        <f>SUM(L18-S18)</f>
        <v>152</v>
      </c>
      <c r="R18" s="90">
        <f>ROUND((Q18/S18)*100,2)</f>
        <v>7.2</v>
      </c>
      <c r="S18" s="103">
        <v>2111</v>
      </c>
      <c r="U18" s="29"/>
      <c r="V18" s="59"/>
      <c r="W18" s="82" t="s">
        <v>290</v>
      </c>
      <c r="X18" s="111">
        <v>0.152</v>
      </c>
      <c r="Y18" s="48">
        <f>ROUND(X18,2)</f>
        <v>0.15</v>
      </c>
      <c r="Z18" s="29"/>
      <c r="AA18" s="29"/>
      <c r="AB18" s="29"/>
    </row>
    <row r="19" spans="10:28" ht="9" customHeight="1">
      <c r="J19" s="149"/>
      <c r="K19" s="103"/>
      <c r="L19" s="103"/>
      <c r="M19" s="103"/>
      <c r="N19" s="103"/>
      <c r="O19" s="113"/>
      <c r="P19" s="115"/>
      <c r="Q19" s="60"/>
      <c r="R19" s="61"/>
      <c r="S19" s="103"/>
      <c r="U19" s="29"/>
      <c r="V19" s="29"/>
      <c r="W19" s="29"/>
      <c r="X19" s="111"/>
      <c r="Y19" s="48"/>
      <c r="Z19" s="29"/>
      <c r="AA19" s="29"/>
      <c r="AB19" s="29"/>
    </row>
    <row r="20" spans="3:28" s="30" customFormat="1" ht="10.5" customHeight="1">
      <c r="C20" s="481" t="s">
        <v>310</v>
      </c>
      <c r="D20" s="481"/>
      <c r="E20" s="481"/>
      <c r="F20" s="481"/>
      <c r="G20" s="481"/>
      <c r="H20" s="481"/>
      <c r="I20" s="481"/>
      <c r="J20" s="299"/>
      <c r="K20" s="102">
        <v>5878</v>
      </c>
      <c r="L20" s="102">
        <v>12466</v>
      </c>
      <c r="M20" s="102">
        <v>6183</v>
      </c>
      <c r="N20" s="102">
        <v>6283</v>
      </c>
      <c r="O20" s="112">
        <f>SUM(L20/Y20)</f>
        <v>15982.051282051281</v>
      </c>
      <c r="P20" s="114">
        <f>ROUND(L20/K20,2)</f>
        <v>2.12</v>
      </c>
      <c r="Q20" s="97">
        <f>SUM(L20-S20)</f>
        <v>1046</v>
      </c>
      <c r="R20" s="93">
        <f>ROUND((Q20/S20)*100,2)</f>
        <v>9.16</v>
      </c>
      <c r="S20" s="102">
        <v>11420</v>
      </c>
      <c r="U20" s="31"/>
      <c r="V20" s="481" t="s">
        <v>310</v>
      </c>
      <c r="W20" s="481"/>
      <c r="X20" s="110">
        <f>SUM(X21:X24)</f>
        <v>0.783</v>
      </c>
      <c r="Y20" s="303">
        <f>ROUND(X20,2)</f>
        <v>0.78</v>
      </c>
      <c r="Z20" s="31"/>
      <c r="AA20" s="31"/>
      <c r="AB20" s="31"/>
    </row>
    <row r="21" spans="3:28" ht="10.5" customHeight="1">
      <c r="C21" s="59"/>
      <c r="D21" s="59"/>
      <c r="E21" s="59"/>
      <c r="F21" s="482" t="s">
        <v>289</v>
      </c>
      <c r="G21" s="482"/>
      <c r="H21" s="482"/>
      <c r="I21" s="482"/>
      <c r="J21" s="305"/>
      <c r="K21" s="103">
        <v>112</v>
      </c>
      <c r="L21" s="103">
        <v>280</v>
      </c>
      <c r="M21" s="103">
        <v>139</v>
      </c>
      <c r="N21" s="103">
        <v>141</v>
      </c>
      <c r="O21" s="113">
        <f>SUM(L21/Y21)</f>
        <v>1866.6666666666667</v>
      </c>
      <c r="P21" s="115">
        <f>ROUND(L21/K21,2)</f>
        <v>2.5</v>
      </c>
      <c r="Q21" s="60">
        <f>SUM(L21-S21)</f>
        <v>46</v>
      </c>
      <c r="R21" s="90">
        <f>ROUND((Q21/S21)*100,2)</f>
        <v>19.66</v>
      </c>
      <c r="S21" s="103">
        <v>234</v>
      </c>
      <c r="U21" s="29"/>
      <c r="V21" s="59"/>
      <c r="W21" s="82" t="s">
        <v>289</v>
      </c>
      <c r="X21" s="111">
        <v>0.149</v>
      </c>
      <c r="Y21" s="48">
        <f>ROUND(X21,2)</f>
        <v>0.15</v>
      </c>
      <c r="Z21" s="29"/>
      <c r="AA21" s="29"/>
      <c r="AB21" s="29"/>
    </row>
    <row r="22" spans="3:28" ht="10.5" customHeight="1">
      <c r="C22" s="59"/>
      <c r="D22" s="59"/>
      <c r="E22" s="59"/>
      <c r="F22" s="482" t="s">
        <v>290</v>
      </c>
      <c r="G22" s="482"/>
      <c r="H22" s="482"/>
      <c r="I22" s="482"/>
      <c r="J22" s="305"/>
      <c r="K22" s="103">
        <v>1012</v>
      </c>
      <c r="L22" s="103">
        <v>2189</v>
      </c>
      <c r="M22" s="103">
        <v>1129</v>
      </c>
      <c r="N22" s="103">
        <v>1060</v>
      </c>
      <c r="O22" s="113">
        <f>SUM(L22/Y22)</f>
        <v>13681.25</v>
      </c>
      <c r="P22" s="115">
        <f>ROUND(L22/K22,2)</f>
        <v>2.16</v>
      </c>
      <c r="Q22" s="60">
        <f>SUM(L22-S22)</f>
        <v>18</v>
      </c>
      <c r="R22" s="90">
        <f>ROUND((Q22/S22)*100,2)</f>
        <v>0.83</v>
      </c>
      <c r="S22" s="103">
        <v>2171</v>
      </c>
      <c r="U22" s="29"/>
      <c r="V22" s="59"/>
      <c r="W22" s="82" t="s">
        <v>290</v>
      </c>
      <c r="X22" s="111">
        <v>0.161</v>
      </c>
      <c r="Y22" s="48">
        <f>ROUND(X22,2)</f>
        <v>0.16</v>
      </c>
      <c r="Z22" s="29"/>
      <c r="AA22" s="29"/>
      <c r="AB22" s="29"/>
    </row>
    <row r="23" spans="3:28" ht="10.5" customHeight="1">
      <c r="C23" s="59"/>
      <c r="D23" s="59"/>
      <c r="E23" s="59"/>
      <c r="F23" s="482" t="s">
        <v>294</v>
      </c>
      <c r="G23" s="482"/>
      <c r="H23" s="482"/>
      <c r="I23" s="482"/>
      <c r="J23" s="305"/>
      <c r="K23" s="103">
        <v>2361</v>
      </c>
      <c r="L23" s="103">
        <v>4841</v>
      </c>
      <c r="M23" s="103">
        <v>2411</v>
      </c>
      <c r="N23" s="103">
        <v>2430</v>
      </c>
      <c r="O23" s="113">
        <f>SUM(L23/Y23)</f>
        <v>21047.82608695652</v>
      </c>
      <c r="P23" s="115">
        <f>ROUND(L23/K23,2)</f>
        <v>2.05</v>
      </c>
      <c r="Q23" s="60">
        <f>SUM(L23-S23)</f>
        <v>337</v>
      </c>
      <c r="R23" s="90">
        <f>ROUND((Q23/S23)*100,2)</f>
        <v>7.48</v>
      </c>
      <c r="S23" s="103">
        <v>4504</v>
      </c>
      <c r="U23" s="29"/>
      <c r="V23" s="59"/>
      <c r="W23" s="82" t="s">
        <v>294</v>
      </c>
      <c r="X23" s="111">
        <v>0.232</v>
      </c>
      <c r="Y23" s="48">
        <f>ROUND(X23,2)</f>
        <v>0.23</v>
      </c>
      <c r="Z23" s="29"/>
      <c r="AA23" s="29"/>
      <c r="AB23" s="29"/>
    </row>
    <row r="24" spans="3:28" ht="10.5" customHeight="1">
      <c r="C24" s="59"/>
      <c r="D24" s="59"/>
      <c r="E24" s="59"/>
      <c r="F24" s="482" t="s">
        <v>297</v>
      </c>
      <c r="G24" s="482"/>
      <c r="H24" s="482"/>
      <c r="I24" s="482"/>
      <c r="J24" s="305"/>
      <c r="K24" s="103">
        <v>2393</v>
      </c>
      <c r="L24" s="103">
        <v>5156</v>
      </c>
      <c r="M24" s="103">
        <v>2504</v>
      </c>
      <c r="N24" s="103">
        <v>2652</v>
      </c>
      <c r="O24" s="113">
        <f>SUM(L24/Y24)</f>
        <v>21483.333333333336</v>
      </c>
      <c r="P24" s="115">
        <f>ROUND(L24/K24,2)</f>
        <v>2.15</v>
      </c>
      <c r="Q24" s="60">
        <f>SUM(L24-S24)</f>
        <v>645</v>
      </c>
      <c r="R24" s="90">
        <f>ROUND((Q24/S24)*100,2)</f>
        <v>14.3</v>
      </c>
      <c r="S24" s="103">
        <v>4511</v>
      </c>
      <c r="U24" s="29"/>
      <c r="V24" s="59"/>
      <c r="W24" s="82" t="s">
        <v>297</v>
      </c>
      <c r="X24" s="111">
        <v>0.241</v>
      </c>
      <c r="Y24" s="48">
        <f>ROUND(X24,2)</f>
        <v>0.24</v>
      </c>
      <c r="Z24" s="29"/>
      <c r="AA24" s="29"/>
      <c r="AB24" s="29"/>
    </row>
    <row r="25" spans="10:28" ht="9" customHeight="1">
      <c r="J25" s="149"/>
      <c r="K25" s="103"/>
      <c r="L25" s="103"/>
      <c r="M25" s="103"/>
      <c r="N25" s="103"/>
      <c r="O25" s="113"/>
      <c r="P25" s="115"/>
      <c r="Q25" s="60"/>
      <c r="R25" s="61"/>
      <c r="S25" s="103"/>
      <c r="U25" s="29"/>
      <c r="V25" s="29"/>
      <c r="W25" s="29"/>
      <c r="X25" s="111"/>
      <c r="Y25" s="48"/>
      <c r="Z25" s="29"/>
      <c r="AA25" s="29"/>
      <c r="AB25" s="29"/>
    </row>
    <row r="26" spans="3:28" s="30" customFormat="1" ht="10.5" customHeight="1">
      <c r="C26" s="481" t="s">
        <v>311</v>
      </c>
      <c r="D26" s="481"/>
      <c r="E26" s="481"/>
      <c r="F26" s="481"/>
      <c r="G26" s="481"/>
      <c r="H26" s="481"/>
      <c r="I26" s="481"/>
      <c r="J26" s="299"/>
      <c r="K26" s="102">
        <v>5147</v>
      </c>
      <c r="L26" s="102">
        <v>12061</v>
      </c>
      <c r="M26" s="102">
        <v>6027</v>
      </c>
      <c r="N26" s="102">
        <v>6034</v>
      </c>
      <c r="O26" s="112">
        <f>SUM(L26/Y26)</f>
        <v>16521.91780821918</v>
      </c>
      <c r="P26" s="114">
        <f>ROUND(L26/K26,2)</f>
        <v>2.34</v>
      </c>
      <c r="Q26" s="97">
        <f>SUM(L26-S26)</f>
        <v>1289</v>
      </c>
      <c r="R26" s="93">
        <f>ROUND((Q26/S26)*100,2)</f>
        <v>11.97</v>
      </c>
      <c r="S26" s="102">
        <v>10772</v>
      </c>
      <c r="U26" s="31"/>
      <c r="V26" s="481" t="s">
        <v>311</v>
      </c>
      <c r="W26" s="481"/>
      <c r="X26" s="110">
        <f>SUM(X27:X30)</f>
        <v>0.7260000000000001</v>
      </c>
      <c r="Y26" s="303">
        <f>ROUND(X26,2)</f>
        <v>0.73</v>
      </c>
      <c r="Z26" s="31"/>
      <c r="AA26" s="31"/>
      <c r="AB26" s="31"/>
    </row>
    <row r="27" spans="3:28" ht="10.5" customHeight="1">
      <c r="C27" s="59"/>
      <c r="D27" s="59"/>
      <c r="E27" s="59"/>
      <c r="F27" s="482" t="s">
        <v>289</v>
      </c>
      <c r="G27" s="482"/>
      <c r="H27" s="482"/>
      <c r="I27" s="482"/>
      <c r="J27" s="305"/>
      <c r="K27" s="103">
        <v>1346</v>
      </c>
      <c r="L27" s="103">
        <v>3246</v>
      </c>
      <c r="M27" s="103">
        <v>1663</v>
      </c>
      <c r="N27" s="103">
        <v>1583</v>
      </c>
      <c r="O27" s="113">
        <f>SUM(L27/Y27)</f>
        <v>16230</v>
      </c>
      <c r="P27" s="115">
        <f>ROUND(L27/K27,2)</f>
        <v>2.41</v>
      </c>
      <c r="Q27" s="60">
        <f>SUM(L27-S27)</f>
        <v>288</v>
      </c>
      <c r="R27" s="90">
        <f>ROUND((Q27/S27)*100,2)</f>
        <v>9.74</v>
      </c>
      <c r="S27" s="103">
        <v>2958</v>
      </c>
      <c r="U27" s="29"/>
      <c r="V27" s="59"/>
      <c r="W27" s="82" t="s">
        <v>289</v>
      </c>
      <c r="X27" s="111">
        <v>0.198</v>
      </c>
      <c r="Y27" s="48">
        <f>ROUND(X27,2)</f>
        <v>0.2</v>
      </c>
      <c r="Z27" s="29"/>
      <c r="AA27" s="29"/>
      <c r="AB27" s="29"/>
    </row>
    <row r="28" spans="3:28" ht="10.5" customHeight="1">
      <c r="C28" s="59"/>
      <c r="D28" s="59"/>
      <c r="E28" s="59"/>
      <c r="F28" s="482" t="s">
        <v>290</v>
      </c>
      <c r="G28" s="482"/>
      <c r="H28" s="482"/>
      <c r="I28" s="482"/>
      <c r="J28" s="305"/>
      <c r="K28" s="103">
        <v>1228</v>
      </c>
      <c r="L28" s="103">
        <v>2878</v>
      </c>
      <c r="M28" s="103">
        <v>1420</v>
      </c>
      <c r="N28" s="103">
        <v>1458</v>
      </c>
      <c r="O28" s="113">
        <f>SUM(L28/Y28)</f>
        <v>17987.5</v>
      </c>
      <c r="P28" s="115">
        <f>ROUND(L28/K28,2)</f>
        <v>2.34</v>
      </c>
      <c r="Q28" s="60">
        <f>SUM(L28-S28)</f>
        <v>113</v>
      </c>
      <c r="R28" s="90">
        <f>ROUND((Q28/S28)*100,2)</f>
        <v>4.09</v>
      </c>
      <c r="S28" s="103">
        <v>2765</v>
      </c>
      <c r="U28" s="29"/>
      <c r="V28" s="59"/>
      <c r="W28" s="82" t="s">
        <v>290</v>
      </c>
      <c r="X28" s="111">
        <v>0.158</v>
      </c>
      <c r="Y28" s="48">
        <f>ROUND(X28,2)</f>
        <v>0.16</v>
      </c>
      <c r="Z28" s="29"/>
      <c r="AA28" s="29"/>
      <c r="AB28" s="29"/>
    </row>
    <row r="29" spans="3:28" ht="10.5" customHeight="1">
      <c r="C29" s="59"/>
      <c r="D29" s="59"/>
      <c r="E29" s="59"/>
      <c r="F29" s="482" t="s">
        <v>294</v>
      </c>
      <c r="G29" s="482"/>
      <c r="H29" s="482"/>
      <c r="I29" s="482"/>
      <c r="J29" s="305"/>
      <c r="K29" s="103">
        <v>1511</v>
      </c>
      <c r="L29" s="103">
        <v>3414</v>
      </c>
      <c r="M29" s="103">
        <v>1695</v>
      </c>
      <c r="N29" s="103">
        <v>1719</v>
      </c>
      <c r="O29" s="113">
        <f>SUM(L29/Y29)</f>
        <v>17070</v>
      </c>
      <c r="P29" s="115">
        <f>ROUND(L29/K29,2)</f>
        <v>2.26</v>
      </c>
      <c r="Q29" s="60">
        <f>SUM(L29-S29)</f>
        <v>461</v>
      </c>
      <c r="R29" s="90">
        <f>ROUND((Q29/S29)*100,2)</f>
        <v>15.61</v>
      </c>
      <c r="S29" s="103">
        <v>2953</v>
      </c>
      <c r="U29" s="29"/>
      <c r="V29" s="59"/>
      <c r="W29" s="82" t="s">
        <v>294</v>
      </c>
      <c r="X29" s="111">
        <v>0.2</v>
      </c>
      <c r="Y29" s="48">
        <f>ROUND(X29,2)</f>
        <v>0.2</v>
      </c>
      <c r="Z29" s="29"/>
      <c r="AA29" s="29"/>
      <c r="AB29" s="29"/>
    </row>
    <row r="30" spans="3:28" ht="10.5" customHeight="1">
      <c r="C30" s="59"/>
      <c r="D30" s="59"/>
      <c r="E30" s="59"/>
      <c r="F30" s="482" t="s">
        <v>297</v>
      </c>
      <c r="G30" s="482"/>
      <c r="H30" s="482"/>
      <c r="I30" s="482"/>
      <c r="J30" s="305"/>
      <c r="K30" s="103">
        <v>1062</v>
      </c>
      <c r="L30" s="103">
        <v>2523</v>
      </c>
      <c r="M30" s="103">
        <v>1249</v>
      </c>
      <c r="N30" s="103">
        <v>1274</v>
      </c>
      <c r="O30" s="113">
        <f>SUM(L30/Y30)</f>
        <v>14841.176470588234</v>
      </c>
      <c r="P30" s="115">
        <f>ROUND(L30/K30,2)</f>
        <v>2.38</v>
      </c>
      <c r="Q30" s="60">
        <f>SUM(L30-S30)</f>
        <v>427</v>
      </c>
      <c r="R30" s="90">
        <f>ROUND((Q30/S30)*100,2)</f>
        <v>20.37</v>
      </c>
      <c r="S30" s="103">
        <v>2096</v>
      </c>
      <c r="U30" s="29"/>
      <c r="V30" s="59"/>
      <c r="W30" s="82" t="s">
        <v>297</v>
      </c>
      <c r="X30" s="111">
        <v>0.17</v>
      </c>
      <c r="Y30" s="48">
        <f>ROUND(X30,2)</f>
        <v>0.17</v>
      </c>
      <c r="Z30" s="29"/>
      <c r="AA30" s="29"/>
      <c r="AB30" s="29"/>
    </row>
    <row r="31" spans="3:28" ht="9" customHeight="1">
      <c r="C31" s="29"/>
      <c r="D31" s="29"/>
      <c r="E31" s="29"/>
      <c r="F31" s="29"/>
      <c r="G31" s="29"/>
      <c r="H31" s="29"/>
      <c r="I31" s="29"/>
      <c r="J31" s="149"/>
      <c r="K31" s="103"/>
      <c r="L31" s="103"/>
      <c r="M31" s="103"/>
      <c r="N31" s="103"/>
      <c r="O31" s="113"/>
      <c r="P31" s="115"/>
      <c r="Q31" s="60"/>
      <c r="R31" s="61"/>
      <c r="S31" s="104"/>
      <c r="U31" s="29"/>
      <c r="V31" s="29"/>
      <c r="W31" s="29"/>
      <c r="X31" s="111"/>
      <c r="Y31" s="48"/>
      <c r="Z31" s="29"/>
      <c r="AA31" s="29"/>
      <c r="AB31" s="29"/>
    </row>
    <row r="32" spans="3:28" s="30" customFormat="1" ht="10.5" customHeight="1">
      <c r="C32" s="481" t="s">
        <v>312</v>
      </c>
      <c r="D32" s="481"/>
      <c r="E32" s="481"/>
      <c r="F32" s="481"/>
      <c r="G32" s="481"/>
      <c r="H32" s="481"/>
      <c r="I32" s="481"/>
      <c r="J32" s="299"/>
      <c r="K32" s="102">
        <v>7738</v>
      </c>
      <c r="L32" s="102">
        <v>18090</v>
      </c>
      <c r="M32" s="102">
        <v>8950</v>
      </c>
      <c r="N32" s="102">
        <v>9140</v>
      </c>
      <c r="O32" s="112">
        <f>SUM(L32/Y32)</f>
        <v>15201.680672268909</v>
      </c>
      <c r="P32" s="114">
        <f>ROUND(L32/K32,2)</f>
        <v>2.34</v>
      </c>
      <c r="Q32" s="97">
        <f>SUM(L32-S32)</f>
        <v>1159</v>
      </c>
      <c r="R32" s="93">
        <f>ROUND((Q32/S32)*100,2)</f>
        <v>6.85</v>
      </c>
      <c r="S32" s="102">
        <v>16931</v>
      </c>
      <c r="U32" s="31"/>
      <c r="V32" s="481" t="s">
        <v>312</v>
      </c>
      <c r="W32" s="481"/>
      <c r="X32" s="110">
        <f>SUM(X33:X36)</f>
        <v>1.1880000000000002</v>
      </c>
      <c r="Y32" s="303">
        <f>ROUND(X32,2)</f>
        <v>1.19</v>
      </c>
      <c r="Z32" s="31"/>
      <c r="AA32" s="31"/>
      <c r="AB32" s="31"/>
    </row>
    <row r="33" spans="3:28" ht="10.5" customHeight="1">
      <c r="C33" s="59"/>
      <c r="D33" s="59"/>
      <c r="E33" s="59"/>
      <c r="F33" s="482" t="s">
        <v>289</v>
      </c>
      <c r="G33" s="482"/>
      <c r="H33" s="482"/>
      <c r="I33" s="482"/>
      <c r="J33" s="305"/>
      <c r="K33" s="103">
        <v>2646</v>
      </c>
      <c r="L33" s="103">
        <v>6024</v>
      </c>
      <c r="M33" s="103">
        <v>2984</v>
      </c>
      <c r="N33" s="103">
        <v>3040</v>
      </c>
      <c r="O33" s="113">
        <f>SUM(L33/Y33)</f>
        <v>18254.545454545452</v>
      </c>
      <c r="P33" s="115">
        <f>ROUND(L33/K33,2)</f>
        <v>2.28</v>
      </c>
      <c r="Q33" s="60">
        <f>SUM(L33-S33)</f>
        <v>583</v>
      </c>
      <c r="R33" s="90">
        <f>ROUND((Q33/S33)*100,2)</f>
        <v>10.71</v>
      </c>
      <c r="S33" s="103">
        <v>5441</v>
      </c>
      <c r="U33" s="29"/>
      <c r="V33" s="59"/>
      <c r="W33" s="82" t="s">
        <v>289</v>
      </c>
      <c r="X33" s="111">
        <v>0.329</v>
      </c>
      <c r="Y33" s="48">
        <f>ROUND(X33,2)</f>
        <v>0.33</v>
      </c>
      <c r="Z33" s="29"/>
      <c r="AA33" s="29"/>
      <c r="AB33" s="29"/>
    </row>
    <row r="34" spans="3:28" ht="10.5" customHeight="1">
      <c r="C34" s="59"/>
      <c r="D34" s="59"/>
      <c r="E34" s="59"/>
      <c r="F34" s="482" t="s">
        <v>290</v>
      </c>
      <c r="G34" s="482"/>
      <c r="H34" s="482"/>
      <c r="I34" s="482"/>
      <c r="J34" s="305"/>
      <c r="K34" s="103">
        <v>1596</v>
      </c>
      <c r="L34" s="103">
        <v>3830</v>
      </c>
      <c r="M34" s="103">
        <v>1879</v>
      </c>
      <c r="N34" s="103">
        <v>1951</v>
      </c>
      <c r="O34" s="113">
        <f>SUM(L34/Y34)</f>
        <v>12354.838709677419</v>
      </c>
      <c r="P34" s="115">
        <f>ROUND(L34/K34,2)</f>
        <v>2.4</v>
      </c>
      <c r="Q34" s="60">
        <f>SUM(L34-S34)</f>
        <v>326</v>
      </c>
      <c r="R34" s="90">
        <f>ROUND((Q34/S34)*100,2)</f>
        <v>9.3</v>
      </c>
      <c r="S34" s="103">
        <v>3504</v>
      </c>
      <c r="U34" s="29"/>
      <c r="V34" s="59"/>
      <c r="W34" s="82" t="s">
        <v>290</v>
      </c>
      <c r="X34" s="111">
        <v>0.311</v>
      </c>
      <c r="Y34" s="48">
        <f>ROUND(X34,2)</f>
        <v>0.31</v>
      </c>
      <c r="Z34" s="29"/>
      <c r="AA34" s="29"/>
      <c r="AB34" s="29"/>
    </row>
    <row r="35" spans="3:28" ht="10.5" customHeight="1">
      <c r="C35" s="59"/>
      <c r="D35" s="59"/>
      <c r="E35" s="59"/>
      <c r="F35" s="482" t="s">
        <v>294</v>
      </c>
      <c r="G35" s="482"/>
      <c r="H35" s="482"/>
      <c r="I35" s="482"/>
      <c r="J35" s="305"/>
      <c r="K35" s="103">
        <v>1901</v>
      </c>
      <c r="L35" s="103">
        <v>4408</v>
      </c>
      <c r="M35" s="103">
        <v>2177</v>
      </c>
      <c r="N35" s="103">
        <v>2231</v>
      </c>
      <c r="O35" s="113">
        <f>SUM(L35/Y35)</f>
        <v>14693.333333333334</v>
      </c>
      <c r="P35" s="115">
        <f>ROUND(L35/K35,2)</f>
        <v>2.32</v>
      </c>
      <c r="Q35" s="60">
        <f>SUM(L35-S35)</f>
        <v>34</v>
      </c>
      <c r="R35" s="90">
        <f>ROUND((Q35/S35)*100,2)</f>
        <v>0.78</v>
      </c>
      <c r="S35" s="103">
        <v>4374</v>
      </c>
      <c r="U35" s="29"/>
      <c r="V35" s="59"/>
      <c r="W35" s="82" t="s">
        <v>294</v>
      </c>
      <c r="X35" s="111">
        <v>0.295</v>
      </c>
      <c r="Y35" s="48">
        <f>ROUND(X35,2)</f>
        <v>0.3</v>
      </c>
      <c r="Z35" s="29"/>
      <c r="AA35" s="29"/>
      <c r="AB35" s="29"/>
    </row>
    <row r="36" spans="3:28" ht="10.5" customHeight="1">
      <c r="C36" s="59"/>
      <c r="D36" s="59"/>
      <c r="E36" s="59"/>
      <c r="F36" s="482" t="s">
        <v>297</v>
      </c>
      <c r="G36" s="482"/>
      <c r="H36" s="482"/>
      <c r="I36" s="482"/>
      <c r="J36" s="305"/>
      <c r="K36" s="103">
        <v>1595</v>
      </c>
      <c r="L36" s="103">
        <v>3828</v>
      </c>
      <c r="M36" s="103">
        <v>1910</v>
      </c>
      <c r="N36" s="103">
        <v>1918</v>
      </c>
      <c r="O36" s="113">
        <f>SUM(L36/Y36)</f>
        <v>15312</v>
      </c>
      <c r="P36" s="115">
        <f>ROUND(L36/K36,2)</f>
        <v>2.4</v>
      </c>
      <c r="Q36" s="60">
        <f>SUM(L36-S36)</f>
        <v>216</v>
      </c>
      <c r="R36" s="90">
        <f>ROUND((Q36/S36)*100,2)</f>
        <v>5.98</v>
      </c>
      <c r="S36" s="103">
        <v>3612</v>
      </c>
      <c r="U36" s="29"/>
      <c r="V36" s="59"/>
      <c r="W36" s="82" t="s">
        <v>297</v>
      </c>
      <c r="X36" s="111">
        <v>0.253</v>
      </c>
      <c r="Y36" s="48">
        <f>ROUND(X36,2)</f>
        <v>0.25</v>
      </c>
      <c r="Z36" s="29"/>
      <c r="AA36" s="29"/>
      <c r="AB36" s="29"/>
    </row>
    <row r="37" spans="3:28" ht="9" customHeight="1">
      <c r="C37" s="59"/>
      <c r="D37" s="59"/>
      <c r="E37" s="59"/>
      <c r="F37" s="59"/>
      <c r="G37" s="59"/>
      <c r="H37" s="59"/>
      <c r="I37" s="59"/>
      <c r="J37" s="305"/>
      <c r="K37" s="103"/>
      <c r="L37" s="103"/>
      <c r="M37" s="103"/>
      <c r="N37" s="103"/>
      <c r="O37" s="113"/>
      <c r="P37" s="115"/>
      <c r="Q37" s="60"/>
      <c r="R37" s="61"/>
      <c r="S37" s="103"/>
      <c r="U37" s="29"/>
      <c r="V37" s="59"/>
      <c r="W37" s="59"/>
      <c r="X37" s="111"/>
      <c r="Y37" s="48"/>
      <c r="Z37" s="29"/>
      <c r="AA37" s="29"/>
      <c r="AB37" s="29"/>
    </row>
    <row r="38" spans="3:28" s="30" customFormat="1" ht="10.5" customHeight="1">
      <c r="C38" s="481" t="s">
        <v>313</v>
      </c>
      <c r="D38" s="481"/>
      <c r="E38" s="481"/>
      <c r="F38" s="481"/>
      <c r="G38" s="481"/>
      <c r="H38" s="481"/>
      <c r="I38" s="481"/>
      <c r="J38" s="299"/>
      <c r="K38" s="102">
        <v>10497</v>
      </c>
      <c r="L38" s="102">
        <v>24250</v>
      </c>
      <c r="M38" s="102">
        <v>12009</v>
      </c>
      <c r="N38" s="102">
        <v>12241</v>
      </c>
      <c r="O38" s="112">
        <f aca="true" t="shared" si="5" ref="O38:O44">SUM(L38/Y38)</f>
        <v>13778.40909090909</v>
      </c>
      <c r="P38" s="114">
        <f aca="true" t="shared" si="6" ref="P38:P44">ROUND(L38/K38,2)</f>
        <v>2.31</v>
      </c>
      <c r="Q38" s="97">
        <f aca="true" t="shared" si="7" ref="Q38:Q44">SUM(L38-S38)</f>
        <v>1742</v>
      </c>
      <c r="R38" s="93">
        <f aca="true" t="shared" si="8" ref="R38:R44">ROUND((Q38/S38)*100,2)</f>
        <v>7.74</v>
      </c>
      <c r="S38" s="102">
        <v>22508</v>
      </c>
      <c r="U38" s="31"/>
      <c r="V38" s="481" t="s">
        <v>313</v>
      </c>
      <c r="W38" s="481"/>
      <c r="X38" s="110">
        <f>SUM(X39:X44)</f>
        <v>1.7610000000000001</v>
      </c>
      <c r="Y38" s="303">
        <f>ROUND(X38,2)</f>
        <v>1.76</v>
      </c>
      <c r="Z38" s="31"/>
      <c r="AA38" s="31"/>
      <c r="AB38" s="31"/>
    </row>
    <row r="39" spans="3:28" ht="10.5" customHeight="1">
      <c r="C39" s="59"/>
      <c r="D39" s="59"/>
      <c r="E39" s="59"/>
      <c r="F39" s="482" t="s">
        <v>289</v>
      </c>
      <c r="G39" s="482"/>
      <c r="H39" s="482"/>
      <c r="I39" s="482"/>
      <c r="J39" s="305"/>
      <c r="K39" s="103">
        <v>1710</v>
      </c>
      <c r="L39" s="103">
        <v>3939</v>
      </c>
      <c r="M39" s="103">
        <v>1990</v>
      </c>
      <c r="N39" s="103">
        <v>1949</v>
      </c>
      <c r="O39" s="113">
        <f t="shared" si="5"/>
        <v>9847.5</v>
      </c>
      <c r="P39" s="115">
        <f t="shared" si="6"/>
        <v>2.3</v>
      </c>
      <c r="Q39" s="60">
        <f t="shared" si="7"/>
        <v>312</v>
      </c>
      <c r="R39" s="90">
        <f t="shared" si="8"/>
        <v>8.6</v>
      </c>
      <c r="S39" s="103">
        <v>3627</v>
      </c>
      <c r="U39" s="29"/>
      <c r="V39" s="59"/>
      <c r="W39" s="82" t="s">
        <v>289</v>
      </c>
      <c r="X39" s="111">
        <v>0.395</v>
      </c>
      <c r="Y39" s="48">
        <f>ROUND(X39,2)</f>
        <v>0.4</v>
      </c>
      <c r="Z39" s="29"/>
      <c r="AA39" s="29"/>
      <c r="AB39" s="29"/>
    </row>
    <row r="40" spans="3:28" ht="10.5" customHeight="1">
      <c r="C40" s="59"/>
      <c r="D40" s="59"/>
      <c r="E40" s="59"/>
      <c r="F40" s="482" t="s">
        <v>290</v>
      </c>
      <c r="G40" s="482"/>
      <c r="H40" s="482"/>
      <c r="I40" s="482"/>
      <c r="J40" s="305"/>
      <c r="K40" s="103">
        <v>1952</v>
      </c>
      <c r="L40" s="103">
        <v>4489</v>
      </c>
      <c r="M40" s="103">
        <v>2283</v>
      </c>
      <c r="N40" s="103">
        <v>2206</v>
      </c>
      <c r="O40" s="113">
        <f t="shared" si="5"/>
        <v>14963.333333333334</v>
      </c>
      <c r="P40" s="115">
        <f t="shared" si="6"/>
        <v>2.3</v>
      </c>
      <c r="Q40" s="60">
        <f t="shared" si="7"/>
        <v>284</v>
      </c>
      <c r="R40" s="90">
        <f t="shared" si="8"/>
        <v>6.75</v>
      </c>
      <c r="S40" s="103">
        <v>4205</v>
      </c>
      <c r="U40" s="29"/>
      <c r="V40" s="59"/>
      <c r="W40" s="82" t="s">
        <v>290</v>
      </c>
      <c r="X40" s="111">
        <v>0.306</v>
      </c>
      <c r="Y40" s="48">
        <v>0.3</v>
      </c>
      <c r="Z40" s="29"/>
      <c r="AA40" s="29"/>
      <c r="AB40" s="29"/>
    </row>
    <row r="41" spans="3:28" ht="10.5" customHeight="1">
      <c r="C41" s="59"/>
      <c r="D41" s="59"/>
      <c r="E41" s="59"/>
      <c r="F41" s="482" t="s">
        <v>294</v>
      </c>
      <c r="G41" s="482"/>
      <c r="H41" s="482"/>
      <c r="I41" s="482"/>
      <c r="J41" s="305"/>
      <c r="K41" s="103">
        <v>1877</v>
      </c>
      <c r="L41" s="103">
        <v>4225</v>
      </c>
      <c r="M41" s="103">
        <v>2036</v>
      </c>
      <c r="N41" s="103">
        <v>2189</v>
      </c>
      <c r="O41" s="113">
        <f t="shared" si="5"/>
        <v>16900</v>
      </c>
      <c r="P41" s="115">
        <f t="shared" si="6"/>
        <v>2.25</v>
      </c>
      <c r="Q41" s="60">
        <f t="shared" si="7"/>
        <v>324</v>
      </c>
      <c r="R41" s="90">
        <f t="shared" si="8"/>
        <v>8.31</v>
      </c>
      <c r="S41" s="103">
        <v>3901</v>
      </c>
      <c r="U41" s="29"/>
      <c r="V41" s="59"/>
      <c r="W41" s="82" t="s">
        <v>294</v>
      </c>
      <c r="X41" s="111">
        <v>0.245</v>
      </c>
      <c r="Y41" s="48">
        <f>ROUND(X41,2)</f>
        <v>0.25</v>
      </c>
      <c r="Z41" s="29"/>
      <c r="AA41" s="29"/>
      <c r="AB41" s="29"/>
    </row>
    <row r="42" spans="3:28" ht="10.5" customHeight="1">
      <c r="C42" s="59"/>
      <c r="D42" s="59"/>
      <c r="E42" s="59"/>
      <c r="F42" s="482" t="s">
        <v>297</v>
      </c>
      <c r="G42" s="482"/>
      <c r="H42" s="482"/>
      <c r="I42" s="482"/>
      <c r="J42" s="305"/>
      <c r="K42" s="103">
        <v>1856</v>
      </c>
      <c r="L42" s="103">
        <v>4354</v>
      </c>
      <c r="M42" s="103">
        <v>2122</v>
      </c>
      <c r="N42" s="103">
        <v>2232</v>
      </c>
      <c r="O42" s="113">
        <f t="shared" si="5"/>
        <v>14045.161290322581</v>
      </c>
      <c r="P42" s="115">
        <f t="shared" si="6"/>
        <v>2.35</v>
      </c>
      <c r="Q42" s="60">
        <f t="shared" si="7"/>
        <v>69</v>
      </c>
      <c r="R42" s="90">
        <f t="shared" si="8"/>
        <v>1.61</v>
      </c>
      <c r="S42" s="103">
        <v>4285</v>
      </c>
      <c r="U42" s="29"/>
      <c r="V42" s="59"/>
      <c r="W42" s="82" t="s">
        <v>297</v>
      </c>
      <c r="X42" s="111">
        <v>0.307</v>
      </c>
      <c r="Y42" s="48">
        <f>ROUND(X42,2)</f>
        <v>0.31</v>
      </c>
      <c r="Z42" s="29"/>
      <c r="AA42" s="29"/>
      <c r="AB42" s="29"/>
    </row>
    <row r="43" spans="3:28" ht="10.5" customHeight="1">
      <c r="C43" s="59"/>
      <c r="D43" s="59"/>
      <c r="E43" s="59"/>
      <c r="F43" s="482" t="s">
        <v>300</v>
      </c>
      <c r="G43" s="482"/>
      <c r="H43" s="482"/>
      <c r="I43" s="482"/>
      <c r="J43" s="305"/>
      <c r="K43" s="103">
        <v>1831</v>
      </c>
      <c r="L43" s="103">
        <v>4148</v>
      </c>
      <c r="M43" s="103">
        <v>2053</v>
      </c>
      <c r="N43" s="103">
        <v>2095</v>
      </c>
      <c r="O43" s="113">
        <f t="shared" si="5"/>
        <v>15953.846153846152</v>
      </c>
      <c r="P43" s="115">
        <f t="shared" si="6"/>
        <v>2.27</v>
      </c>
      <c r="Q43" s="60">
        <f t="shared" si="7"/>
        <v>641</v>
      </c>
      <c r="R43" s="90">
        <f t="shared" si="8"/>
        <v>18.28</v>
      </c>
      <c r="S43" s="103">
        <v>3507</v>
      </c>
      <c r="U43" s="29"/>
      <c r="V43" s="59"/>
      <c r="W43" s="82" t="s">
        <v>300</v>
      </c>
      <c r="X43" s="111">
        <v>0.261</v>
      </c>
      <c r="Y43" s="48">
        <f>ROUND(X43,2)</f>
        <v>0.26</v>
      </c>
      <c r="Z43" s="29"/>
      <c r="AA43" s="29"/>
      <c r="AB43" s="29"/>
    </row>
    <row r="44" spans="3:28" ht="10.5" customHeight="1">
      <c r="C44" s="59"/>
      <c r="D44" s="59"/>
      <c r="E44" s="59"/>
      <c r="F44" s="482" t="s">
        <v>301</v>
      </c>
      <c r="G44" s="482"/>
      <c r="H44" s="482"/>
      <c r="I44" s="482"/>
      <c r="J44" s="305"/>
      <c r="K44" s="103">
        <v>1271</v>
      </c>
      <c r="L44" s="103">
        <v>3095</v>
      </c>
      <c r="M44" s="103">
        <v>1525</v>
      </c>
      <c r="N44" s="103">
        <v>1570</v>
      </c>
      <c r="O44" s="113">
        <f t="shared" si="5"/>
        <v>12380</v>
      </c>
      <c r="P44" s="115">
        <f t="shared" si="6"/>
        <v>2.44</v>
      </c>
      <c r="Q44" s="60">
        <f t="shared" si="7"/>
        <v>112</v>
      </c>
      <c r="R44" s="90">
        <f t="shared" si="8"/>
        <v>3.75</v>
      </c>
      <c r="S44" s="103">
        <v>2983</v>
      </c>
      <c r="U44" s="29"/>
      <c r="V44" s="59"/>
      <c r="W44" s="82" t="s">
        <v>301</v>
      </c>
      <c r="X44" s="111">
        <v>0.247</v>
      </c>
      <c r="Y44" s="48">
        <f>ROUND(X44,2)</f>
        <v>0.25</v>
      </c>
      <c r="Z44" s="29"/>
      <c r="AA44" s="29"/>
      <c r="AB44" s="29"/>
    </row>
    <row r="45" spans="3:28" ht="9" customHeight="1">
      <c r="C45" s="59"/>
      <c r="D45" s="59"/>
      <c r="E45" s="59"/>
      <c r="F45" s="484"/>
      <c r="G45" s="484"/>
      <c r="H45" s="484"/>
      <c r="I45" s="484"/>
      <c r="J45" s="305"/>
      <c r="K45" s="103"/>
      <c r="L45" s="103"/>
      <c r="M45" s="103"/>
      <c r="N45" s="103"/>
      <c r="O45" s="113"/>
      <c r="P45" s="115"/>
      <c r="Q45" s="60"/>
      <c r="R45" s="61"/>
      <c r="S45" s="103"/>
      <c r="U45" s="29"/>
      <c r="V45" s="59"/>
      <c r="W45" s="59"/>
      <c r="X45" s="111"/>
      <c r="Y45" s="48"/>
      <c r="Z45" s="29"/>
      <c r="AA45" s="29"/>
      <c r="AB45" s="29"/>
    </row>
    <row r="46" spans="3:28" s="30" customFormat="1" ht="10.5" customHeight="1">
      <c r="C46" s="481" t="s">
        <v>314</v>
      </c>
      <c r="D46" s="481"/>
      <c r="E46" s="481"/>
      <c r="F46" s="481"/>
      <c r="G46" s="481"/>
      <c r="H46" s="481"/>
      <c r="I46" s="481"/>
      <c r="J46" s="299"/>
      <c r="K46" s="102">
        <v>5907</v>
      </c>
      <c r="L46" s="102">
        <v>15217</v>
      </c>
      <c r="M46" s="102">
        <v>7673</v>
      </c>
      <c r="N46" s="102">
        <v>7544</v>
      </c>
      <c r="O46" s="112">
        <f aca="true" t="shared" si="9" ref="O46:O52">SUM(L46/Y46)</f>
        <v>11026.8115942029</v>
      </c>
      <c r="P46" s="114">
        <f aca="true" t="shared" si="10" ref="P46:P52">ROUND(L46/K46,2)</f>
        <v>2.58</v>
      </c>
      <c r="Q46" s="97">
        <f aca="true" t="shared" si="11" ref="Q46:Q52">SUM(L46-S46)</f>
        <v>1443</v>
      </c>
      <c r="R46" s="93">
        <f aca="true" t="shared" si="12" ref="R46:R52">ROUND((Q46/S46)*100,2)</f>
        <v>10.48</v>
      </c>
      <c r="S46" s="102">
        <v>13774</v>
      </c>
      <c r="U46" s="31"/>
      <c r="V46" s="481" t="s">
        <v>314</v>
      </c>
      <c r="W46" s="481"/>
      <c r="X46" s="110">
        <f>SUM(X47:X52)</f>
        <v>1.3840000000000001</v>
      </c>
      <c r="Y46" s="303">
        <f aca="true" t="shared" si="13" ref="Y46:Y52">ROUND(X46,2)</f>
        <v>1.38</v>
      </c>
      <c r="Z46" s="31"/>
      <c r="AA46" s="31"/>
      <c r="AB46" s="31"/>
    </row>
    <row r="47" spans="3:28" ht="10.5" customHeight="1">
      <c r="C47" s="59"/>
      <c r="D47" s="59"/>
      <c r="E47" s="59"/>
      <c r="F47" s="482" t="s">
        <v>289</v>
      </c>
      <c r="G47" s="482"/>
      <c r="H47" s="482"/>
      <c r="I47" s="482"/>
      <c r="J47" s="305"/>
      <c r="K47" s="103">
        <v>1033</v>
      </c>
      <c r="L47" s="103">
        <v>2485</v>
      </c>
      <c r="M47" s="103">
        <v>1246</v>
      </c>
      <c r="N47" s="103">
        <v>1239</v>
      </c>
      <c r="O47" s="113">
        <f t="shared" si="9"/>
        <v>10804.347826086956</v>
      </c>
      <c r="P47" s="115">
        <f t="shared" si="10"/>
        <v>2.41</v>
      </c>
      <c r="Q47" s="60">
        <f t="shared" si="11"/>
        <v>-111</v>
      </c>
      <c r="R47" s="90">
        <f t="shared" si="12"/>
        <v>-4.28</v>
      </c>
      <c r="S47" s="103">
        <v>2596</v>
      </c>
      <c r="U47" s="29"/>
      <c r="V47" s="59"/>
      <c r="W47" s="82" t="s">
        <v>289</v>
      </c>
      <c r="X47" s="111">
        <v>0.229</v>
      </c>
      <c r="Y47" s="48">
        <f t="shared" si="13"/>
        <v>0.23</v>
      </c>
      <c r="Z47" s="29"/>
      <c r="AA47" s="29"/>
      <c r="AB47" s="29"/>
    </row>
    <row r="48" spans="3:28" ht="10.5" customHeight="1">
      <c r="C48" s="59"/>
      <c r="D48" s="59"/>
      <c r="E48" s="59"/>
      <c r="F48" s="482" t="s">
        <v>290</v>
      </c>
      <c r="G48" s="482"/>
      <c r="H48" s="482"/>
      <c r="I48" s="482"/>
      <c r="J48" s="305"/>
      <c r="K48" s="103">
        <v>822</v>
      </c>
      <c r="L48" s="103">
        <v>2230</v>
      </c>
      <c r="M48" s="103">
        <v>1095</v>
      </c>
      <c r="N48" s="103">
        <v>1135</v>
      </c>
      <c r="O48" s="113">
        <f t="shared" si="9"/>
        <v>10619.04761904762</v>
      </c>
      <c r="P48" s="115">
        <f t="shared" si="10"/>
        <v>2.71</v>
      </c>
      <c r="Q48" s="60">
        <f t="shared" si="11"/>
        <v>380</v>
      </c>
      <c r="R48" s="90">
        <f t="shared" si="12"/>
        <v>20.54</v>
      </c>
      <c r="S48" s="103">
        <v>1850</v>
      </c>
      <c r="U48" s="29"/>
      <c r="V48" s="59"/>
      <c r="W48" s="82" t="s">
        <v>290</v>
      </c>
      <c r="X48" s="111">
        <v>0.208</v>
      </c>
      <c r="Y48" s="48">
        <f t="shared" si="13"/>
        <v>0.21</v>
      </c>
      <c r="Z48" s="29"/>
      <c r="AA48" s="29"/>
      <c r="AB48" s="29"/>
    </row>
    <row r="49" spans="3:28" ht="10.5" customHeight="1">
      <c r="C49" s="59"/>
      <c r="D49" s="59"/>
      <c r="E49" s="59"/>
      <c r="F49" s="482" t="s">
        <v>294</v>
      </c>
      <c r="G49" s="482"/>
      <c r="H49" s="482"/>
      <c r="I49" s="482"/>
      <c r="J49" s="305"/>
      <c r="K49" s="103">
        <v>1062</v>
      </c>
      <c r="L49" s="103">
        <v>2926</v>
      </c>
      <c r="M49" s="103">
        <v>1489</v>
      </c>
      <c r="N49" s="103">
        <v>1437</v>
      </c>
      <c r="O49" s="113">
        <f t="shared" si="9"/>
        <v>13300</v>
      </c>
      <c r="P49" s="115">
        <f t="shared" si="10"/>
        <v>2.76</v>
      </c>
      <c r="Q49" s="60">
        <f t="shared" si="11"/>
        <v>582</v>
      </c>
      <c r="R49" s="90">
        <f t="shared" si="12"/>
        <v>24.83</v>
      </c>
      <c r="S49" s="103">
        <v>2344</v>
      </c>
      <c r="U49" s="29"/>
      <c r="V49" s="59"/>
      <c r="W49" s="82" t="s">
        <v>294</v>
      </c>
      <c r="X49" s="111">
        <v>0.218</v>
      </c>
      <c r="Y49" s="48">
        <f t="shared" si="13"/>
        <v>0.22</v>
      </c>
      <c r="Z49" s="29"/>
      <c r="AA49" s="29"/>
      <c r="AB49" s="29"/>
    </row>
    <row r="50" spans="3:28" ht="10.5" customHeight="1">
      <c r="C50" s="59"/>
      <c r="D50" s="59"/>
      <c r="E50" s="59"/>
      <c r="F50" s="482" t="s">
        <v>297</v>
      </c>
      <c r="G50" s="482"/>
      <c r="H50" s="482"/>
      <c r="I50" s="482"/>
      <c r="J50" s="305"/>
      <c r="K50" s="103">
        <v>1196</v>
      </c>
      <c r="L50" s="103">
        <v>3064</v>
      </c>
      <c r="M50" s="103">
        <v>1544</v>
      </c>
      <c r="N50" s="103">
        <v>1520</v>
      </c>
      <c r="O50" s="113">
        <f t="shared" si="9"/>
        <v>13321.739130434782</v>
      </c>
      <c r="P50" s="115">
        <f t="shared" si="10"/>
        <v>2.56</v>
      </c>
      <c r="Q50" s="60">
        <f t="shared" si="11"/>
        <v>127</v>
      </c>
      <c r="R50" s="90">
        <f t="shared" si="12"/>
        <v>4.32</v>
      </c>
      <c r="S50" s="103">
        <v>2937</v>
      </c>
      <c r="U50" s="29"/>
      <c r="V50" s="59"/>
      <c r="W50" s="82" t="s">
        <v>297</v>
      </c>
      <c r="X50" s="111">
        <v>0.229</v>
      </c>
      <c r="Y50" s="48">
        <f t="shared" si="13"/>
        <v>0.23</v>
      </c>
      <c r="Z50" s="29"/>
      <c r="AA50" s="29"/>
      <c r="AB50" s="29"/>
    </row>
    <row r="51" spans="3:28" ht="10.5" customHeight="1">
      <c r="C51" s="59"/>
      <c r="D51" s="59"/>
      <c r="E51" s="59"/>
      <c r="F51" s="482" t="s">
        <v>300</v>
      </c>
      <c r="G51" s="482"/>
      <c r="H51" s="482"/>
      <c r="I51" s="482"/>
      <c r="J51" s="305"/>
      <c r="K51" s="103">
        <v>807</v>
      </c>
      <c r="L51" s="103">
        <v>1962</v>
      </c>
      <c r="M51" s="103">
        <v>1011</v>
      </c>
      <c r="N51" s="103">
        <v>951</v>
      </c>
      <c r="O51" s="113">
        <f t="shared" si="9"/>
        <v>8175</v>
      </c>
      <c r="P51" s="115">
        <f t="shared" si="10"/>
        <v>2.43</v>
      </c>
      <c r="Q51" s="60">
        <f t="shared" si="11"/>
        <v>176</v>
      </c>
      <c r="R51" s="90">
        <f t="shared" si="12"/>
        <v>9.85</v>
      </c>
      <c r="S51" s="103">
        <v>1786</v>
      </c>
      <c r="U51" s="29"/>
      <c r="V51" s="59"/>
      <c r="W51" s="82" t="s">
        <v>300</v>
      </c>
      <c r="X51" s="111">
        <v>0.236</v>
      </c>
      <c r="Y51" s="48">
        <f t="shared" si="13"/>
        <v>0.24</v>
      </c>
      <c r="Z51" s="29"/>
      <c r="AA51" s="29"/>
      <c r="AB51" s="29"/>
    </row>
    <row r="52" spans="3:28" ht="10.5" customHeight="1">
      <c r="C52" s="59"/>
      <c r="D52" s="59"/>
      <c r="E52" s="59"/>
      <c r="F52" s="482" t="s">
        <v>301</v>
      </c>
      <c r="G52" s="482"/>
      <c r="H52" s="482"/>
      <c r="I52" s="482"/>
      <c r="J52" s="305"/>
      <c r="K52" s="103">
        <v>987</v>
      </c>
      <c r="L52" s="103">
        <v>2550</v>
      </c>
      <c r="M52" s="103">
        <v>1288</v>
      </c>
      <c r="N52" s="103">
        <v>1262</v>
      </c>
      <c r="O52" s="113">
        <f t="shared" si="9"/>
        <v>9807.692307692307</v>
      </c>
      <c r="P52" s="115">
        <f t="shared" si="10"/>
        <v>2.58</v>
      </c>
      <c r="Q52" s="60">
        <f t="shared" si="11"/>
        <v>289</v>
      </c>
      <c r="R52" s="90">
        <f t="shared" si="12"/>
        <v>12.78</v>
      </c>
      <c r="S52" s="103">
        <v>2261</v>
      </c>
      <c r="U52" s="29"/>
      <c r="V52" s="59"/>
      <c r="W52" s="82" t="s">
        <v>301</v>
      </c>
      <c r="X52" s="111">
        <v>0.264</v>
      </c>
      <c r="Y52" s="48">
        <f t="shared" si="13"/>
        <v>0.26</v>
      </c>
      <c r="Z52" s="29"/>
      <c r="AA52" s="29"/>
      <c r="AB52" s="29"/>
    </row>
    <row r="53" spans="10:28" ht="9" customHeight="1">
      <c r="J53" s="149"/>
      <c r="K53" s="103"/>
      <c r="L53" s="103"/>
      <c r="M53" s="103"/>
      <c r="N53" s="103"/>
      <c r="O53" s="113"/>
      <c r="P53" s="115"/>
      <c r="Q53" s="60"/>
      <c r="R53" s="61"/>
      <c r="S53" s="103"/>
      <c r="U53" s="29"/>
      <c r="V53" s="29"/>
      <c r="W53" s="29"/>
      <c r="X53" s="111"/>
      <c r="Y53" s="48"/>
      <c r="Z53" s="29"/>
      <c r="AA53" s="29"/>
      <c r="AB53" s="29"/>
    </row>
    <row r="54" spans="3:28" s="30" customFormat="1" ht="10.5" customHeight="1">
      <c r="C54" s="481" t="s">
        <v>315</v>
      </c>
      <c r="D54" s="481"/>
      <c r="E54" s="481"/>
      <c r="F54" s="481"/>
      <c r="G54" s="481"/>
      <c r="H54" s="481"/>
      <c r="I54" s="481"/>
      <c r="J54" s="299"/>
      <c r="K54" s="102">
        <v>12165</v>
      </c>
      <c r="L54" s="102">
        <v>25693</v>
      </c>
      <c r="M54" s="102">
        <v>13205</v>
      </c>
      <c r="N54" s="102">
        <v>12488</v>
      </c>
      <c r="O54" s="112">
        <f aca="true" t="shared" si="14" ref="O54:O62">SUM(L54/Y54)</f>
        <v>15666.463414634147</v>
      </c>
      <c r="P54" s="114">
        <f aca="true" t="shared" si="15" ref="P54:P62">ROUND(L54/K54,2)</f>
        <v>2.11</v>
      </c>
      <c r="Q54" s="97">
        <f aca="true" t="shared" si="16" ref="Q54:Q62">SUM(L54-S54)</f>
        <v>-395</v>
      </c>
      <c r="R54" s="93">
        <f aca="true" t="shared" si="17" ref="R54:R62">ROUND((Q54/S54)*100,2)</f>
        <v>-1.51</v>
      </c>
      <c r="S54" s="102">
        <v>26088</v>
      </c>
      <c r="U54" s="31"/>
      <c r="V54" s="481" t="s">
        <v>315</v>
      </c>
      <c r="W54" s="481"/>
      <c r="X54" s="110">
        <f>SUM(X55:X62)</f>
        <v>1.637</v>
      </c>
      <c r="Y54" s="303">
        <f aca="true" t="shared" si="18" ref="Y54:Y62">ROUND(X54,2)</f>
        <v>1.64</v>
      </c>
      <c r="Z54" s="31"/>
      <c r="AA54" s="31"/>
      <c r="AB54" s="31"/>
    </row>
    <row r="55" spans="3:28" ht="10.5" customHeight="1">
      <c r="C55" s="59"/>
      <c r="D55" s="59"/>
      <c r="E55" s="59"/>
      <c r="F55" s="482" t="s">
        <v>289</v>
      </c>
      <c r="G55" s="482"/>
      <c r="H55" s="482"/>
      <c r="I55" s="482"/>
      <c r="J55" s="305"/>
      <c r="K55" s="103">
        <v>2460</v>
      </c>
      <c r="L55" s="103">
        <v>4520</v>
      </c>
      <c r="M55" s="103">
        <v>2316</v>
      </c>
      <c r="N55" s="103">
        <v>2204</v>
      </c>
      <c r="O55" s="113">
        <f t="shared" si="14"/>
        <v>17384.615384615383</v>
      </c>
      <c r="P55" s="115">
        <f t="shared" si="15"/>
        <v>1.84</v>
      </c>
      <c r="Q55" s="60">
        <f t="shared" si="16"/>
        <v>25</v>
      </c>
      <c r="R55" s="90">
        <f t="shared" si="17"/>
        <v>0.56</v>
      </c>
      <c r="S55" s="103">
        <v>4495</v>
      </c>
      <c r="U55" s="29"/>
      <c r="V55" s="59"/>
      <c r="W55" s="82" t="s">
        <v>289</v>
      </c>
      <c r="X55" s="111">
        <v>0.261</v>
      </c>
      <c r="Y55" s="48">
        <f t="shared" si="18"/>
        <v>0.26</v>
      </c>
      <c r="Z55" s="29"/>
      <c r="AA55" s="29"/>
      <c r="AB55" s="29"/>
    </row>
    <row r="56" spans="3:28" ht="10.5" customHeight="1">
      <c r="C56" s="59"/>
      <c r="D56" s="59"/>
      <c r="E56" s="59"/>
      <c r="F56" s="482" t="s">
        <v>290</v>
      </c>
      <c r="G56" s="482"/>
      <c r="H56" s="482"/>
      <c r="I56" s="482"/>
      <c r="J56" s="305"/>
      <c r="K56" s="103">
        <v>2646</v>
      </c>
      <c r="L56" s="103">
        <v>5498</v>
      </c>
      <c r="M56" s="103">
        <v>2747</v>
      </c>
      <c r="N56" s="103">
        <v>2751</v>
      </c>
      <c r="O56" s="113">
        <f t="shared" si="14"/>
        <v>21992</v>
      </c>
      <c r="P56" s="115">
        <f t="shared" si="15"/>
        <v>2.08</v>
      </c>
      <c r="Q56" s="60">
        <f t="shared" si="16"/>
        <v>-940</v>
      </c>
      <c r="R56" s="90">
        <f t="shared" si="17"/>
        <v>-14.6</v>
      </c>
      <c r="S56" s="103">
        <v>6438</v>
      </c>
      <c r="U56" s="29"/>
      <c r="V56" s="59"/>
      <c r="W56" s="82" t="s">
        <v>290</v>
      </c>
      <c r="X56" s="111">
        <v>0.251</v>
      </c>
      <c r="Y56" s="48">
        <f t="shared" si="18"/>
        <v>0.25</v>
      </c>
      <c r="Z56" s="29"/>
      <c r="AA56" s="29"/>
      <c r="AB56" s="29"/>
    </row>
    <row r="57" spans="3:28" ht="10.5" customHeight="1">
      <c r="C57" s="59"/>
      <c r="D57" s="59"/>
      <c r="E57" s="59"/>
      <c r="F57" s="482" t="s">
        <v>294</v>
      </c>
      <c r="G57" s="482"/>
      <c r="H57" s="482"/>
      <c r="I57" s="482"/>
      <c r="J57" s="305"/>
      <c r="K57" s="103">
        <v>1216</v>
      </c>
      <c r="L57" s="103">
        <v>2683</v>
      </c>
      <c r="M57" s="103">
        <v>1299</v>
      </c>
      <c r="N57" s="103">
        <v>1384</v>
      </c>
      <c r="O57" s="113">
        <f t="shared" si="14"/>
        <v>20638.46153846154</v>
      </c>
      <c r="P57" s="115">
        <f t="shared" si="15"/>
        <v>2.21</v>
      </c>
      <c r="Q57" s="60">
        <f t="shared" si="16"/>
        <v>274</v>
      </c>
      <c r="R57" s="90">
        <f t="shared" si="17"/>
        <v>11.37</v>
      </c>
      <c r="S57" s="103">
        <v>2409</v>
      </c>
      <c r="U57" s="29"/>
      <c r="V57" s="59"/>
      <c r="W57" s="82" t="s">
        <v>294</v>
      </c>
      <c r="X57" s="111">
        <v>0.134</v>
      </c>
      <c r="Y57" s="48">
        <f t="shared" si="18"/>
        <v>0.13</v>
      </c>
      <c r="Z57" s="29"/>
      <c r="AA57" s="29"/>
      <c r="AB57" s="29"/>
    </row>
    <row r="58" spans="3:28" ht="10.5" customHeight="1">
      <c r="C58" s="59"/>
      <c r="D58" s="59"/>
      <c r="E58" s="59"/>
      <c r="F58" s="482" t="s">
        <v>297</v>
      </c>
      <c r="G58" s="482"/>
      <c r="H58" s="482"/>
      <c r="I58" s="482"/>
      <c r="J58" s="305"/>
      <c r="K58" s="103">
        <v>23</v>
      </c>
      <c r="L58" s="103">
        <v>769</v>
      </c>
      <c r="M58" s="103">
        <v>716</v>
      </c>
      <c r="N58" s="103">
        <v>53</v>
      </c>
      <c r="O58" s="113">
        <f t="shared" si="14"/>
        <v>3076</v>
      </c>
      <c r="P58" s="115">
        <f t="shared" si="15"/>
        <v>33.43</v>
      </c>
      <c r="Q58" s="60">
        <f t="shared" si="16"/>
        <v>-173</v>
      </c>
      <c r="R58" s="90">
        <f t="shared" si="17"/>
        <v>-18.37</v>
      </c>
      <c r="S58" s="103">
        <v>942</v>
      </c>
      <c r="U58" s="29"/>
      <c r="V58" s="59"/>
      <c r="W58" s="82" t="s">
        <v>297</v>
      </c>
      <c r="X58" s="111">
        <v>0.249</v>
      </c>
      <c r="Y58" s="48">
        <f t="shared" si="18"/>
        <v>0.25</v>
      </c>
      <c r="Z58" s="29"/>
      <c r="AA58" s="29"/>
      <c r="AB58" s="29"/>
    </row>
    <row r="59" spans="3:28" ht="10.5" customHeight="1">
      <c r="C59" s="59"/>
      <c r="D59" s="59"/>
      <c r="E59" s="59"/>
      <c r="F59" s="482" t="s">
        <v>300</v>
      </c>
      <c r="G59" s="482"/>
      <c r="H59" s="482"/>
      <c r="I59" s="482"/>
      <c r="J59" s="305"/>
      <c r="K59" s="103">
        <v>1141</v>
      </c>
      <c r="L59" s="103">
        <v>2476</v>
      </c>
      <c r="M59" s="103">
        <v>1287</v>
      </c>
      <c r="N59" s="103">
        <v>1189</v>
      </c>
      <c r="O59" s="113">
        <f t="shared" si="14"/>
        <v>17685.714285714283</v>
      </c>
      <c r="P59" s="115">
        <f t="shared" si="15"/>
        <v>2.17</v>
      </c>
      <c r="Q59" s="60">
        <f t="shared" si="16"/>
        <v>197</v>
      </c>
      <c r="R59" s="90">
        <f t="shared" si="17"/>
        <v>8.64</v>
      </c>
      <c r="S59" s="103">
        <v>2279</v>
      </c>
      <c r="U59" s="29"/>
      <c r="V59" s="59"/>
      <c r="W59" s="82" t="s">
        <v>300</v>
      </c>
      <c r="X59" s="111">
        <v>0.139</v>
      </c>
      <c r="Y59" s="48">
        <f t="shared" si="18"/>
        <v>0.14</v>
      </c>
      <c r="Z59" s="29"/>
      <c r="AA59" s="29"/>
      <c r="AB59" s="29"/>
    </row>
    <row r="60" spans="3:28" ht="10.5" customHeight="1">
      <c r="C60" s="59"/>
      <c r="D60" s="59"/>
      <c r="E60" s="59"/>
      <c r="F60" s="482" t="s">
        <v>301</v>
      </c>
      <c r="G60" s="482"/>
      <c r="H60" s="482"/>
      <c r="I60" s="482"/>
      <c r="J60" s="305"/>
      <c r="K60" s="103">
        <v>1292</v>
      </c>
      <c r="L60" s="103">
        <v>2737</v>
      </c>
      <c r="M60" s="103">
        <v>1301</v>
      </c>
      <c r="N60" s="103">
        <v>1436</v>
      </c>
      <c r="O60" s="113">
        <f t="shared" si="14"/>
        <v>15205.555555555557</v>
      </c>
      <c r="P60" s="115">
        <f t="shared" si="15"/>
        <v>2.12</v>
      </c>
      <c r="Q60" s="60">
        <f t="shared" si="16"/>
        <v>-34</v>
      </c>
      <c r="R60" s="90">
        <f t="shared" si="17"/>
        <v>-1.23</v>
      </c>
      <c r="S60" s="103">
        <v>2771</v>
      </c>
      <c r="U60" s="29"/>
      <c r="V60" s="59"/>
      <c r="W60" s="82" t="s">
        <v>301</v>
      </c>
      <c r="X60" s="111">
        <v>0.178</v>
      </c>
      <c r="Y60" s="48">
        <f t="shared" si="18"/>
        <v>0.18</v>
      </c>
      <c r="Z60" s="29"/>
      <c r="AA60" s="29"/>
      <c r="AB60" s="29"/>
    </row>
    <row r="61" spans="3:28" ht="10.5" customHeight="1">
      <c r="C61" s="59"/>
      <c r="D61" s="59"/>
      <c r="E61" s="59"/>
      <c r="F61" s="482" t="s">
        <v>316</v>
      </c>
      <c r="G61" s="482"/>
      <c r="H61" s="482"/>
      <c r="I61" s="482"/>
      <c r="J61" s="305"/>
      <c r="K61" s="103">
        <v>1510</v>
      </c>
      <c r="L61" s="103">
        <v>3153</v>
      </c>
      <c r="M61" s="103">
        <v>1631</v>
      </c>
      <c r="N61" s="103">
        <v>1522</v>
      </c>
      <c r="O61" s="113">
        <f t="shared" si="14"/>
        <v>15014.285714285716</v>
      </c>
      <c r="P61" s="115">
        <f t="shared" si="15"/>
        <v>2.09</v>
      </c>
      <c r="Q61" s="60">
        <f t="shared" si="16"/>
        <v>199</v>
      </c>
      <c r="R61" s="90">
        <f t="shared" si="17"/>
        <v>6.74</v>
      </c>
      <c r="S61" s="103">
        <v>2954</v>
      </c>
      <c r="U61" s="29"/>
      <c r="V61" s="59"/>
      <c r="W61" s="82" t="s">
        <v>316</v>
      </c>
      <c r="X61" s="111">
        <v>0.21</v>
      </c>
      <c r="Y61" s="48">
        <f t="shared" si="18"/>
        <v>0.21</v>
      </c>
      <c r="Z61" s="29"/>
      <c r="AA61" s="29"/>
      <c r="AB61" s="29"/>
    </row>
    <row r="62" spans="3:28" ht="10.5" customHeight="1">
      <c r="C62" s="59"/>
      <c r="D62" s="59"/>
      <c r="E62" s="59"/>
      <c r="F62" s="482" t="s">
        <v>317</v>
      </c>
      <c r="G62" s="482"/>
      <c r="H62" s="482"/>
      <c r="I62" s="482"/>
      <c r="J62" s="305"/>
      <c r="K62" s="103">
        <v>1877</v>
      </c>
      <c r="L62" s="103">
        <v>3857</v>
      </c>
      <c r="M62" s="103">
        <v>1908</v>
      </c>
      <c r="N62" s="103">
        <v>1949</v>
      </c>
      <c r="O62" s="113">
        <f t="shared" si="14"/>
        <v>17531.81818181818</v>
      </c>
      <c r="P62" s="115">
        <f t="shared" si="15"/>
        <v>2.05</v>
      </c>
      <c r="Q62" s="60">
        <f t="shared" si="16"/>
        <v>57</v>
      </c>
      <c r="R62" s="90">
        <f t="shared" si="17"/>
        <v>1.5</v>
      </c>
      <c r="S62" s="103">
        <v>3800</v>
      </c>
      <c r="U62" s="29"/>
      <c r="V62" s="59"/>
      <c r="W62" s="82" t="s">
        <v>317</v>
      </c>
      <c r="X62" s="111">
        <v>0.215</v>
      </c>
      <c r="Y62" s="48">
        <f t="shared" si="18"/>
        <v>0.22</v>
      </c>
      <c r="Z62" s="29"/>
      <c r="AA62" s="29"/>
      <c r="AB62" s="29"/>
    </row>
    <row r="63" spans="10:28" ht="9" customHeight="1">
      <c r="J63" s="149"/>
      <c r="K63" s="103"/>
      <c r="L63" s="103"/>
      <c r="M63" s="103"/>
      <c r="N63" s="103"/>
      <c r="O63" s="113"/>
      <c r="P63" s="115"/>
      <c r="Q63" s="60"/>
      <c r="R63" s="61"/>
      <c r="S63" s="103"/>
      <c r="U63" s="29"/>
      <c r="V63" s="29"/>
      <c r="W63" s="29"/>
      <c r="X63" s="111"/>
      <c r="Y63" s="48"/>
      <c r="Z63" s="29"/>
      <c r="AA63" s="29"/>
      <c r="AB63" s="29"/>
    </row>
    <row r="64" spans="3:28" s="30" customFormat="1" ht="10.5" customHeight="1">
      <c r="C64" s="481" t="s">
        <v>318</v>
      </c>
      <c r="D64" s="481"/>
      <c r="E64" s="481"/>
      <c r="F64" s="481"/>
      <c r="G64" s="481"/>
      <c r="H64" s="481"/>
      <c r="I64" s="481"/>
      <c r="J64" s="299"/>
      <c r="K64" s="102">
        <v>10985</v>
      </c>
      <c r="L64" s="102">
        <v>27417</v>
      </c>
      <c r="M64" s="102">
        <v>13766</v>
      </c>
      <c r="N64" s="102">
        <v>13651</v>
      </c>
      <c r="O64" s="112">
        <f aca="true" t="shared" si="19" ref="O64:O69">SUM(L64/Y64)</f>
        <v>16516.265060240963</v>
      </c>
      <c r="P64" s="114">
        <f aca="true" t="shared" si="20" ref="P64:P69">ROUND(L64/K64,2)</f>
        <v>2.5</v>
      </c>
      <c r="Q64" s="97">
        <f aca="true" t="shared" si="21" ref="Q64:Q69">SUM(L64-S64)</f>
        <v>1894</v>
      </c>
      <c r="R64" s="93">
        <f aca="true" t="shared" si="22" ref="R64:R69">ROUND((Q64/S64)*100,2)</f>
        <v>7.42</v>
      </c>
      <c r="S64" s="102">
        <v>25523</v>
      </c>
      <c r="U64" s="31"/>
      <c r="V64" s="481" t="s">
        <v>318</v>
      </c>
      <c r="W64" s="481"/>
      <c r="X64" s="110">
        <f>SUM(X65:X69)</f>
        <v>1.6640000000000001</v>
      </c>
      <c r="Y64" s="303">
        <f aca="true" t="shared" si="23" ref="Y64:Y69">ROUND(X64,2)</f>
        <v>1.66</v>
      </c>
      <c r="Z64" s="31"/>
      <c r="AA64" s="31"/>
      <c r="AB64" s="31"/>
    </row>
    <row r="65" spans="3:28" ht="10.5" customHeight="1">
      <c r="C65" s="59"/>
      <c r="D65" s="59"/>
      <c r="E65" s="59"/>
      <c r="F65" s="482" t="s">
        <v>289</v>
      </c>
      <c r="G65" s="482"/>
      <c r="H65" s="482"/>
      <c r="I65" s="482"/>
      <c r="J65" s="305"/>
      <c r="K65" s="103">
        <v>1941</v>
      </c>
      <c r="L65" s="103">
        <v>4695</v>
      </c>
      <c r="M65" s="103">
        <v>2353</v>
      </c>
      <c r="N65" s="103">
        <v>2342</v>
      </c>
      <c r="O65" s="113">
        <f t="shared" si="19"/>
        <v>16767.85714285714</v>
      </c>
      <c r="P65" s="115">
        <f t="shared" si="20"/>
        <v>2.42</v>
      </c>
      <c r="Q65" s="60">
        <f t="shared" si="21"/>
        <v>143</v>
      </c>
      <c r="R65" s="90">
        <f t="shared" si="22"/>
        <v>3.14</v>
      </c>
      <c r="S65" s="103">
        <v>4552</v>
      </c>
      <c r="U65" s="29"/>
      <c r="V65" s="59"/>
      <c r="W65" s="82" t="s">
        <v>289</v>
      </c>
      <c r="X65" s="111">
        <v>0.275</v>
      </c>
      <c r="Y65" s="48">
        <f t="shared" si="23"/>
        <v>0.28</v>
      </c>
      <c r="Z65" s="29"/>
      <c r="AA65" s="29"/>
      <c r="AB65" s="29"/>
    </row>
    <row r="66" spans="3:28" ht="10.5" customHeight="1">
      <c r="C66" s="59"/>
      <c r="D66" s="59"/>
      <c r="E66" s="59"/>
      <c r="F66" s="482" t="s">
        <v>290</v>
      </c>
      <c r="G66" s="482"/>
      <c r="H66" s="482"/>
      <c r="I66" s="482"/>
      <c r="J66" s="305"/>
      <c r="K66" s="103">
        <v>3021</v>
      </c>
      <c r="L66" s="103">
        <v>6733</v>
      </c>
      <c r="M66" s="103">
        <v>3330</v>
      </c>
      <c r="N66" s="103">
        <v>3403</v>
      </c>
      <c r="O66" s="113">
        <f t="shared" si="19"/>
        <v>16832.5</v>
      </c>
      <c r="P66" s="115">
        <f t="shared" si="20"/>
        <v>2.23</v>
      </c>
      <c r="Q66" s="60">
        <f t="shared" si="21"/>
        <v>363</v>
      </c>
      <c r="R66" s="90">
        <f t="shared" si="22"/>
        <v>5.7</v>
      </c>
      <c r="S66" s="103">
        <v>6370</v>
      </c>
      <c r="U66" s="29"/>
      <c r="V66" s="59"/>
      <c r="W66" s="82" t="s">
        <v>290</v>
      </c>
      <c r="X66" s="111">
        <v>0.4</v>
      </c>
      <c r="Y66" s="48">
        <f t="shared" si="23"/>
        <v>0.4</v>
      </c>
      <c r="Z66" s="29"/>
      <c r="AA66" s="29"/>
      <c r="AB66" s="29"/>
    </row>
    <row r="67" spans="3:28" ht="10.5" customHeight="1">
      <c r="C67" s="59"/>
      <c r="D67" s="59"/>
      <c r="E67" s="59"/>
      <c r="F67" s="482" t="s">
        <v>294</v>
      </c>
      <c r="G67" s="482"/>
      <c r="H67" s="482"/>
      <c r="I67" s="482"/>
      <c r="J67" s="305"/>
      <c r="K67" s="103">
        <v>2312</v>
      </c>
      <c r="L67" s="103">
        <v>6268</v>
      </c>
      <c r="M67" s="103">
        <v>3241</v>
      </c>
      <c r="N67" s="103">
        <v>3027</v>
      </c>
      <c r="O67" s="113">
        <f t="shared" si="19"/>
        <v>19587.5</v>
      </c>
      <c r="P67" s="115">
        <f t="shared" si="20"/>
        <v>2.71</v>
      </c>
      <c r="Q67" s="60">
        <f t="shared" si="21"/>
        <v>390</v>
      </c>
      <c r="R67" s="90">
        <f t="shared" si="22"/>
        <v>6.63</v>
      </c>
      <c r="S67" s="103">
        <v>5878</v>
      </c>
      <c r="U67" s="29"/>
      <c r="V67" s="59"/>
      <c r="W67" s="82" t="s">
        <v>294</v>
      </c>
      <c r="X67" s="111">
        <v>0.319</v>
      </c>
      <c r="Y67" s="48">
        <f t="shared" si="23"/>
        <v>0.32</v>
      </c>
      <c r="Z67" s="29"/>
      <c r="AA67" s="29"/>
      <c r="AB67" s="29"/>
    </row>
    <row r="68" spans="3:28" ht="10.5" customHeight="1">
      <c r="C68" s="59"/>
      <c r="D68" s="59"/>
      <c r="E68" s="59"/>
      <c r="F68" s="482" t="s">
        <v>297</v>
      </c>
      <c r="G68" s="482"/>
      <c r="H68" s="482"/>
      <c r="I68" s="482"/>
      <c r="J68" s="305"/>
      <c r="K68" s="103">
        <v>2320</v>
      </c>
      <c r="L68" s="103">
        <v>6221</v>
      </c>
      <c r="M68" s="103">
        <v>3104</v>
      </c>
      <c r="N68" s="103">
        <v>3117</v>
      </c>
      <c r="O68" s="113">
        <f t="shared" si="19"/>
        <v>14811.904761904763</v>
      </c>
      <c r="P68" s="115">
        <f t="shared" si="20"/>
        <v>2.68</v>
      </c>
      <c r="Q68" s="60">
        <f t="shared" si="21"/>
        <v>669</v>
      </c>
      <c r="R68" s="90">
        <f t="shared" si="22"/>
        <v>12.05</v>
      </c>
      <c r="S68" s="103">
        <v>5552</v>
      </c>
      <c r="U68" s="29"/>
      <c r="V68" s="59"/>
      <c r="W68" s="82" t="s">
        <v>297</v>
      </c>
      <c r="X68" s="111">
        <v>0.415</v>
      </c>
      <c r="Y68" s="48">
        <f t="shared" si="23"/>
        <v>0.42</v>
      </c>
      <c r="Z68" s="29"/>
      <c r="AA68" s="29"/>
      <c r="AB68" s="29"/>
    </row>
    <row r="69" spans="3:28" ht="10.5" customHeight="1">
      <c r="C69" s="59"/>
      <c r="D69" s="59"/>
      <c r="E69" s="59"/>
      <c r="F69" s="482" t="s">
        <v>300</v>
      </c>
      <c r="G69" s="482"/>
      <c r="H69" s="482"/>
      <c r="I69" s="482"/>
      <c r="J69" s="305"/>
      <c r="K69" s="103">
        <v>1391</v>
      </c>
      <c r="L69" s="103">
        <v>3500</v>
      </c>
      <c r="M69" s="103">
        <v>1738</v>
      </c>
      <c r="N69" s="103">
        <v>1762</v>
      </c>
      <c r="O69" s="113">
        <f t="shared" si="19"/>
        <v>13461.538461538461</v>
      </c>
      <c r="P69" s="115">
        <f t="shared" si="20"/>
        <v>2.52</v>
      </c>
      <c r="Q69" s="60">
        <f t="shared" si="21"/>
        <v>329</v>
      </c>
      <c r="R69" s="90">
        <f t="shared" si="22"/>
        <v>10.38</v>
      </c>
      <c r="S69" s="103">
        <v>3171</v>
      </c>
      <c r="U69" s="29"/>
      <c r="V69" s="59"/>
      <c r="W69" s="82" t="s">
        <v>300</v>
      </c>
      <c r="X69" s="111">
        <v>0.255</v>
      </c>
      <c r="Y69" s="48">
        <f t="shared" si="23"/>
        <v>0.26</v>
      </c>
      <c r="Z69" s="29"/>
      <c r="AA69" s="29"/>
      <c r="AB69" s="29"/>
    </row>
    <row r="70" spans="3:28" ht="9" customHeight="1">
      <c r="C70" s="59"/>
      <c r="D70" s="59"/>
      <c r="E70" s="59"/>
      <c r="F70" s="59"/>
      <c r="G70" s="59"/>
      <c r="H70" s="59"/>
      <c r="I70" s="59"/>
      <c r="J70" s="305"/>
      <c r="K70" s="103"/>
      <c r="L70" s="103"/>
      <c r="M70" s="103"/>
      <c r="N70" s="103"/>
      <c r="O70" s="113"/>
      <c r="P70" s="115"/>
      <c r="Q70" s="60"/>
      <c r="R70" s="61"/>
      <c r="S70" s="103"/>
      <c r="U70" s="29"/>
      <c r="V70" s="59"/>
      <c r="W70" s="59"/>
      <c r="X70" s="111"/>
      <c r="Y70" s="48"/>
      <c r="Z70" s="29"/>
      <c r="AA70" s="29"/>
      <c r="AB70" s="29"/>
    </row>
    <row r="71" spans="3:28" s="30" customFormat="1" ht="10.5" customHeight="1">
      <c r="C71" s="481" t="s">
        <v>319</v>
      </c>
      <c r="D71" s="481"/>
      <c r="E71" s="481"/>
      <c r="F71" s="481"/>
      <c r="G71" s="481"/>
      <c r="H71" s="481"/>
      <c r="I71" s="481"/>
      <c r="J71" s="299"/>
      <c r="K71" s="102">
        <v>11980</v>
      </c>
      <c r="L71" s="102">
        <v>31447</v>
      </c>
      <c r="M71" s="102">
        <v>15100</v>
      </c>
      <c r="N71" s="102">
        <v>16347</v>
      </c>
      <c r="O71" s="112">
        <f aca="true" t="shared" si="24" ref="O71:O78">SUM(L71/Y71)</f>
        <v>18830.53892215569</v>
      </c>
      <c r="P71" s="114">
        <f>ROUND(L71/K71,2)</f>
        <v>2.62</v>
      </c>
      <c r="Q71" s="97">
        <f>SUM(L71-S71)</f>
        <v>-2518</v>
      </c>
      <c r="R71" s="93">
        <f>ROUND((Q71/S71)*100,2)</f>
        <v>-7.41</v>
      </c>
      <c r="S71" s="102">
        <v>33965</v>
      </c>
      <c r="U71" s="31"/>
      <c r="V71" s="481" t="s">
        <v>319</v>
      </c>
      <c r="W71" s="481"/>
      <c r="X71" s="110">
        <f>SUM(X72:X78)</f>
        <v>1.674</v>
      </c>
      <c r="Y71" s="303">
        <f aca="true" t="shared" si="25" ref="Y71:Y78">ROUND(X71,2)</f>
        <v>1.67</v>
      </c>
      <c r="Z71" s="31"/>
      <c r="AA71" s="31"/>
      <c r="AB71" s="31"/>
    </row>
    <row r="72" spans="3:25" s="29" customFormat="1" ht="10.5" customHeight="1">
      <c r="C72" s="59"/>
      <c r="D72" s="59"/>
      <c r="E72" s="59"/>
      <c r="F72" s="482" t="s">
        <v>289</v>
      </c>
      <c r="G72" s="482"/>
      <c r="H72" s="482"/>
      <c r="I72" s="482"/>
      <c r="J72" s="305"/>
      <c r="K72" s="103">
        <v>1462</v>
      </c>
      <c r="L72" s="103">
        <v>3189</v>
      </c>
      <c r="M72" s="103">
        <v>1526</v>
      </c>
      <c r="N72" s="103">
        <v>1663</v>
      </c>
      <c r="O72" s="113">
        <f t="shared" si="24"/>
        <v>45557.142857142855</v>
      </c>
      <c r="P72" s="115">
        <f>ROUND(L72/K72,2)</f>
        <v>2.18</v>
      </c>
      <c r="Q72" s="60">
        <f>SUM(L72-S72)</f>
        <v>-410</v>
      </c>
      <c r="R72" s="90">
        <f>ROUND((Q72/S72)*100,2)</f>
        <v>-11.39</v>
      </c>
      <c r="S72" s="103">
        <v>3599</v>
      </c>
      <c r="V72" s="59"/>
      <c r="W72" s="82" t="s">
        <v>289</v>
      </c>
      <c r="X72" s="111">
        <v>0.071</v>
      </c>
      <c r="Y72" s="48">
        <f t="shared" si="25"/>
        <v>0.07</v>
      </c>
    </row>
    <row r="73" spans="3:25" s="29" customFormat="1" ht="10.5" customHeight="1">
      <c r="C73" s="59"/>
      <c r="D73" s="59"/>
      <c r="E73" s="59"/>
      <c r="F73" s="482" t="s">
        <v>290</v>
      </c>
      <c r="G73" s="482"/>
      <c r="H73" s="482"/>
      <c r="I73" s="482"/>
      <c r="J73" s="305"/>
      <c r="K73" s="103">
        <v>2526</v>
      </c>
      <c r="L73" s="103">
        <v>6906</v>
      </c>
      <c r="M73" s="103">
        <v>3221</v>
      </c>
      <c r="N73" s="103">
        <v>3685</v>
      </c>
      <c r="O73" s="113">
        <f t="shared" si="24"/>
        <v>26561.53846153846</v>
      </c>
      <c r="P73" s="115">
        <f>ROUND(L73/K73,2)</f>
        <v>2.73</v>
      </c>
      <c r="Q73" s="60">
        <f>SUM(L73-S73)</f>
        <v>-565</v>
      </c>
      <c r="R73" s="90">
        <f>ROUND((Q73/S73)*100,2)</f>
        <v>-7.56</v>
      </c>
      <c r="S73" s="103">
        <v>7471</v>
      </c>
      <c r="V73" s="59"/>
      <c r="W73" s="82" t="s">
        <v>290</v>
      </c>
      <c r="X73" s="111">
        <v>0.257</v>
      </c>
      <c r="Y73" s="48">
        <f t="shared" si="25"/>
        <v>0.26</v>
      </c>
    </row>
    <row r="74" spans="3:28" ht="10.5" customHeight="1">
      <c r="C74" s="59"/>
      <c r="D74" s="59"/>
      <c r="E74" s="59"/>
      <c r="F74" s="482" t="s">
        <v>294</v>
      </c>
      <c r="G74" s="482"/>
      <c r="H74" s="482"/>
      <c r="I74" s="482"/>
      <c r="J74" s="305"/>
      <c r="K74" s="103">
        <v>3610</v>
      </c>
      <c r="L74" s="103">
        <v>9705</v>
      </c>
      <c r="M74" s="103">
        <v>4749</v>
      </c>
      <c r="N74" s="103">
        <v>4956</v>
      </c>
      <c r="O74" s="113">
        <f t="shared" si="24"/>
        <v>33465.51724137931</v>
      </c>
      <c r="P74" s="115">
        <f>ROUND(L74/K74,2)</f>
        <v>2.69</v>
      </c>
      <c r="Q74" s="60">
        <f>SUM(L74-S74)</f>
        <v>-749</v>
      </c>
      <c r="R74" s="90">
        <f>ROUND((Q74/S74)*100,2)</f>
        <v>-7.16</v>
      </c>
      <c r="S74" s="103">
        <v>10454</v>
      </c>
      <c r="U74" s="29"/>
      <c r="V74" s="59"/>
      <c r="W74" s="82" t="s">
        <v>294</v>
      </c>
      <c r="X74" s="111">
        <v>0.288</v>
      </c>
      <c r="Y74" s="48">
        <f t="shared" si="25"/>
        <v>0.29</v>
      </c>
      <c r="Z74" s="29"/>
      <c r="AA74" s="29"/>
      <c r="AB74" s="29"/>
    </row>
    <row r="75" spans="3:28" ht="10.5" customHeight="1">
      <c r="C75" s="59"/>
      <c r="D75" s="59"/>
      <c r="E75" s="59"/>
      <c r="F75" s="482" t="s">
        <v>297</v>
      </c>
      <c r="G75" s="482"/>
      <c r="H75" s="482"/>
      <c r="I75" s="482"/>
      <c r="J75" s="305"/>
      <c r="K75" s="103">
        <v>23</v>
      </c>
      <c r="L75" s="103">
        <v>23</v>
      </c>
      <c r="M75" s="103">
        <v>22</v>
      </c>
      <c r="N75" s="103">
        <v>1</v>
      </c>
      <c r="O75" s="113">
        <f t="shared" si="24"/>
        <v>37.704918032786885</v>
      </c>
      <c r="P75" s="223">
        <v>1</v>
      </c>
      <c r="Q75" s="60">
        <v>7</v>
      </c>
      <c r="R75" s="61" t="s">
        <v>466</v>
      </c>
      <c r="S75" s="103">
        <v>7</v>
      </c>
      <c r="U75" s="29"/>
      <c r="V75" s="59"/>
      <c r="W75" s="82" t="s">
        <v>297</v>
      </c>
      <c r="X75" s="111">
        <v>0.61</v>
      </c>
      <c r="Y75" s="48">
        <f t="shared" si="25"/>
        <v>0.61</v>
      </c>
      <c r="Z75" s="29"/>
      <c r="AA75" s="29"/>
      <c r="AB75" s="29"/>
    </row>
    <row r="76" spans="3:28" ht="10.5" customHeight="1">
      <c r="C76" s="59"/>
      <c r="D76" s="59"/>
      <c r="E76" s="59"/>
      <c r="F76" s="482" t="s">
        <v>300</v>
      </c>
      <c r="G76" s="482"/>
      <c r="H76" s="482"/>
      <c r="I76" s="482"/>
      <c r="J76" s="305"/>
      <c r="K76" s="103">
        <v>1496</v>
      </c>
      <c r="L76" s="103">
        <v>3931</v>
      </c>
      <c r="M76" s="103">
        <v>1844</v>
      </c>
      <c r="N76" s="103">
        <v>2087</v>
      </c>
      <c r="O76" s="113">
        <f t="shared" si="24"/>
        <v>24568.75</v>
      </c>
      <c r="P76" s="115">
        <f>ROUND(L76/K76,2)</f>
        <v>2.63</v>
      </c>
      <c r="Q76" s="60">
        <f>SUM(L76-S76)</f>
        <v>-374</v>
      </c>
      <c r="R76" s="90">
        <f>ROUND((Q76/S76)*100,2)</f>
        <v>-8.69</v>
      </c>
      <c r="S76" s="103">
        <v>4305</v>
      </c>
      <c r="U76" s="29"/>
      <c r="V76" s="59"/>
      <c r="W76" s="82" t="s">
        <v>300</v>
      </c>
      <c r="X76" s="111">
        <v>0.164</v>
      </c>
      <c r="Y76" s="48">
        <f t="shared" si="25"/>
        <v>0.16</v>
      </c>
      <c r="Z76" s="29"/>
      <c r="AA76" s="29"/>
      <c r="AB76" s="29"/>
    </row>
    <row r="77" spans="3:28" ht="10.5" customHeight="1">
      <c r="C77" s="59"/>
      <c r="D77" s="59"/>
      <c r="E77" s="59"/>
      <c r="F77" s="482" t="s">
        <v>301</v>
      </c>
      <c r="G77" s="482"/>
      <c r="H77" s="482"/>
      <c r="I77" s="482"/>
      <c r="J77" s="305"/>
      <c r="K77" s="103">
        <v>450</v>
      </c>
      <c r="L77" s="103">
        <v>1223</v>
      </c>
      <c r="M77" s="103">
        <v>548</v>
      </c>
      <c r="N77" s="103">
        <v>675</v>
      </c>
      <c r="O77" s="113">
        <f t="shared" si="24"/>
        <v>15287.5</v>
      </c>
      <c r="P77" s="115">
        <f>ROUND(L77/K77,2)</f>
        <v>2.72</v>
      </c>
      <c r="Q77" s="60">
        <f>SUM(L77-S77)</f>
        <v>-89</v>
      </c>
      <c r="R77" s="90">
        <f>ROUND((Q77/S77)*100,2)</f>
        <v>-6.78</v>
      </c>
      <c r="S77" s="103">
        <v>1312</v>
      </c>
      <c r="U77" s="29"/>
      <c r="V77" s="59"/>
      <c r="W77" s="82" t="s">
        <v>301</v>
      </c>
      <c r="X77" s="111">
        <v>0.078</v>
      </c>
      <c r="Y77" s="48">
        <f t="shared" si="25"/>
        <v>0.08</v>
      </c>
      <c r="Z77" s="29"/>
      <c r="AA77" s="29"/>
      <c r="AB77" s="29"/>
    </row>
    <row r="78" spans="3:28" ht="10.5" customHeight="1">
      <c r="C78" s="59"/>
      <c r="D78" s="59"/>
      <c r="E78" s="59"/>
      <c r="F78" s="482" t="s">
        <v>316</v>
      </c>
      <c r="G78" s="482"/>
      <c r="H78" s="482"/>
      <c r="I78" s="482"/>
      <c r="J78" s="305"/>
      <c r="K78" s="103">
        <v>2413</v>
      </c>
      <c r="L78" s="103">
        <v>6470</v>
      </c>
      <c r="M78" s="103">
        <v>3190</v>
      </c>
      <c r="N78" s="103">
        <v>3280</v>
      </c>
      <c r="O78" s="113">
        <f t="shared" si="24"/>
        <v>30809.52380952381</v>
      </c>
      <c r="P78" s="115">
        <f>ROUND(L78/K78,2)</f>
        <v>2.68</v>
      </c>
      <c r="Q78" s="60">
        <f>SUM(L78-S78)</f>
        <v>-347</v>
      </c>
      <c r="R78" s="90">
        <f>ROUND((Q78/S78)*100,2)</f>
        <v>-5.09</v>
      </c>
      <c r="S78" s="103">
        <v>6817</v>
      </c>
      <c r="U78" s="29"/>
      <c r="V78" s="59"/>
      <c r="W78" s="82" t="s">
        <v>316</v>
      </c>
      <c r="X78" s="111">
        <v>0.206</v>
      </c>
      <c r="Y78" s="48">
        <f t="shared" si="25"/>
        <v>0.21</v>
      </c>
      <c r="Z78" s="29"/>
      <c r="AA78" s="29"/>
      <c r="AB78" s="29"/>
    </row>
    <row r="79" spans="2:19" s="29" customFormat="1" ht="15" customHeight="1">
      <c r="B79" s="32"/>
      <c r="C79" s="32"/>
      <c r="D79" s="32"/>
      <c r="E79" s="32"/>
      <c r="F79" s="32"/>
      <c r="G79" s="32"/>
      <c r="H79" s="32"/>
      <c r="I79" s="32"/>
      <c r="J79" s="153"/>
      <c r="K79" s="32"/>
      <c r="L79" s="32"/>
      <c r="M79" s="32"/>
      <c r="N79" s="32"/>
      <c r="O79" s="32"/>
      <c r="P79" s="32"/>
      <c r="Q79" s="32"/>
      <c r="R79" s="32"/>
      <c r="S79" s="32"/>
    </row>
    <row r="80" s="29" customFormat="1" ht="10.5" customHeight="1"/>
    <row r="81" spans="21:28" ht="15.75" customHeight="1">
      <c r="U81" s="29"/>
      <c r="V81" s="29"/>
      <c r="W81" s="29"/>
      <c r="X81" s="29"/>
      <c r="Y81" s="29"/>
      <c r="Z81" s="29"/>
      <c r="AA81" s="29"/>
      <c r="AB81" s="29"/>
    </row>
    <row r="82" spans="21:28" ht="15.75" customHeight="1">
      <c r="U82" s="29"/>
      <c r="V82" s="29"/>
      <c r="W82" s="29"/>
      <c r="X82" s="29"/>
      <c r="Y82" s="29"/>
      <c r="Z82" s="29"/>
      <c r="AA82" s="29"/>
      <c r="AB82" s="29"/>
    </row>
    <row r="83" spans="21:28" ht="15.75" customHeight="1">
      <c r="U83" s="29"/>
      <c r="V83" s="29"/>
      <c r="W83" s="29"/>
      <c r="X83" s="29"/>
      <c r="Y83" s="29"/>
      <c r="Z83" s="29"/>
      <c r="AA83" s="29"/>
      <c r="AB83" s="29"/>
    </row>
    <row r="84" spans="21:28" ht="15.75" customHeight="1">
      <c r="U84" s="29"/>
      <c r="V84" s="29"/>
      <c r="W84" s="29"/>
      <c r="X84" s="29"/>
      <c r="Y84" s="29"/>
      <c r="Z84" s="29"/>
      <c r="AA84" s="29"/>
      <c r="AB84" s="29"/>
    </row>
    <row r="85" ht="15.75" customHeight="1"/>
    <row r="86" ht="15.75" customHeight="1"/>
    <row r="87" ht="15.75" customHeight="1"/>
    <row r="88" ht="15.75" customHeight="1"/>
    <row r="89" spans="3:23" ht="15.75" customHeight="1">
      <c r="C89" s="484" t="s">
        <v>320</v>
      </c>
      <c r="D89" s="484"/>
      <c r="E89" s="484"/>
      <c r="F89" s="484"/>
      <c r="G89" s="484"/>
      <c r="H89" s="484"/>
      <c r="I89" s="484"/>
      <c r="J89" s="59"/>
      <c r="K89" s="308">
        <f>SUM(K9,K16,K20,K26,K32,K38,K46,K54,K64,K71)</f>
        <v>82038</v>
      </c>
      <c r="L89" s="308">
        <f>SUM(L9,L16,L20,L26,L32,L38,L46,L54,L64,L71)</f>
        <v>190928</v>
      </c>
      <c r="M89" s="308">
        <f>SUM(M9,M16,M20,M26,M32,M38,M46,M54,M64,M71)</f>
        <v>95151</v>
      </c>
      <c r="N89" s="308">
        <f>SUM(N9,N16,N20,N26,N32,N38,N46,N54,N64,N71)</f>
        <v>95777</v>
      </c>
      <c r="O89" s="308">
        <f>SUM(O9,O16,O20,O26,O32,O38,O46,O54,O64,O71)</f>
        <v>156921.33410636437</v>
      </c>
      <c r="P89" s="100"/>
      <c r="Q89" s="309"/>
      <c r="R89" s="310"/>
      <c r="S89" s="308">
        <f>SUM(S9,S16,S20,S26,S32,S38,S46,S54,S64,S71)</f>
        <v>184350</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71:W71"/>
    <mergeCell ref="V89:W89"/>
    <mergeCell ref="F74:I74"/>
    <mergeCell ref="F75:I75"/>
    <mergeCell ref="F76:I76"/>
    <mergeCell ref="F77:I77"/>
    <mergeCell ref="F78:I78"/>
    <mergeCell ref="C89:I89"/>
    <mergeCell ref="F72:I72"/>
    <mergeCell ref="F73:I73"/>
    <mergeCell ref="F59:I59"/>
    <mergeCell ref="C71:I71"/>
    <mergeCell ref="V64:W64"/>
    <mergeCell ref="F65:I65"/>
    <mergeCell ref="F66:I66"/>
    <mergeCell ref="F67:I67"/>
    <mergeCell ref="F62:I62"/>
    <mergeCell ref="C64:I64"/>
    <mergeCell ref="F68:I68"/>
    <mergeCell ref="F69:I69"/>
    <mergeCell ref="F43:I43"/>
    <mergeCell ref="F60:I60"/>
    <mergeCell ref="F61:I61"/>
    <mergeCell ref="F50:I50"/>
    <mergeCell ref="F51:I51"/>
    <mergeCell ref="F52:I52"/>
    <mergeCell ref="C54:I54"/>
    <mergeCell ref="F56:I56"/>
    <mergeCell ref="F57:I57"/>
    <mergeCell ref="F58:I58"/>
    <mergeCell ref="V54:W54"/>
    <mergeCell ref="F55:I55"/>
    <mergeCell ref="F45:I45"/>
    <mergeCell ref="C46:I46"/>
    <mergeCell ref="V46:W46"/>
    <mergeCell ref="F47:I47"/>
    <mergeCell ref="F48:I48"/>
    <mergeCell ref="F49:I49"/>
    <mergeCell ref="F44:I44"/>
    <mergeCell ref="F33:I33"/>
    <mergeCell ref="F34:I34"/>
    <mergeCell ref="F35:I35"/>
    <mergeCell ref="F36:I36"/>
    <mergeCell ref="C38:I38"/>
    <mergeCell ref="F39:I39"/>
    <mergeCell ref="F40:I40"/>
    <mergeCell ref="F41:I41"/>
    <mergeCell ref="F42:I42"/>
    <mergeCell ref="F24:I24"/>
    <mergeCell ref="V38:W38"/>
    <mergeCell ref="F27:I27"/>
    <mergeCell ref="F28:I28"/>
    <mergeCell ref="F29:I29"/>
    <mergeCell ref="F30:I30"/>
    <mergeCell ref="C32:I32"/>
    <mergeCell ref="V32:W32"/>
    <mergeCell ref="C26:I26"/>
    <mergeCell ref="V26:W26"/>
    <mergeCell ref="V20:W20"/>
    <mergeCell ref="F21:I21"/>
    <mergeCell ref="F22:I22"/>
    <mergeCell ref="C16:I16"/>
    <mergeCell ref="V16:W16"/>
    <mergeCell ref="F17:I17"/>
    <mergeCell ref="F18:I18"/>
    <mergeCell ref="V9:W9"/>
    <mergeCell ref="F10:I10"/>
    <mergeCell ref="F11:I11"/>
    <mergeCell ref="F12:I12"/>
    <mergeCell ref="F13:I13"/>
    <mergeCell ref="F14:I14"/>
    <mergeCell ref="C9:I9"/>
    <mergeCell ref="B3:S3"/>
    <mergeCell ref="B5:J6"/>
    <mergeCell ref="K5:K6"/>
    <mergeCell ref="L5:N5"/>
    <mergeCell ref="Q5:R5"/>
    <mergeCell ref="F23:I23"/>
    <mergeCell ref="C20:I2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23" ht="10.5" customHeight="1">
      <c r="A1" s="36"/>
      <c r="B1" s="2"/>
      <c r="C1" s="70"/>
      <c r="D1" s="70"/>
      <c r="E1" s="70"/>
      <c r="F1" s="70"/>
      <c r="G1" s="70"/>
      <c r="H1" s="70"/>
      <c r="I1" s="70"/>
      <c r="J1" s="70"/>
      <c r="K1" s="70"/>
      <c r="T1" s="330" t="s">
        <v>499</v>
      </c>
      <c r="V1" s="70"/>
      <c r="W1" s="70"/>
    </row>
    <row r="2" ht="10.5" customHeight="1"/>
    <row r="3" spans="2:20" s="38" customFormat="1" ht="18" customHeight="1">
      <c r="B3" s="485" t="s">
        <v>514</v>
      </c>
      <c r="C3" s="485"/>
      <c r="D3" s="485"/>
      <c r="E3" s="485"/>
      <c r="F3" s="485"/>
      <c r="G3" s="485"/>
      <c r="H3" s="485"/>
      <c r="I3" s="485"/>
      <c r="J3" s="485"/>
      <c r="K3" s="485"/>
      <c r="L3" s="485"/>
      <c r="M3" s="485"/>
      <c r="N3" s="485"/>
      <c r="O3" s="485"/>
      <c r="P3" s="485"/>
      <c r="Q3" s="485"/>
      <c r="R3" s="485"/>
      <c r="S3" s="485"/>
      <c r="T3" s="56"/>
    </row>
    <row r="4" spans="2:25" ht="12.75" customHeight="1">
      <c r="B4" s="29"/>
      <c r="C4" s="29"/>
      <c r="D4" s="29"/>
      <c r="E4" s="29"/>
      <c r="F4" s="29"/>
      <c r="G4" s="29"/>
      <c r="H4" s="29"/>
      <c r="I4" s="29"/>
      <c r="J4" s="29"/>
      <c r="K4" s="29"/>
      <c r="L4" s="29"/>
      <c r="M4" s="29"/>
      <c r="N4" s="29"/>
      <c r="O4" s="29"/>
      <c r="P4" s="29"/>
      <c r="Q4" s="29"/>
      <c r="R4" s="29"/>
      <c r="S4" s="29"/>
      <c r="T4" s="29"/>
      <c r="V4" s="29"/>
      <c r="W4" s="29"/>
      <c r="X4" s="29"/>
      <c r="Y4" s="29"/>
    </row>
    <row r="5" spans="2:25" ht="13.5" customHeight="1">
      <c r="B5" s="475" t="s">
        <v>284</v>
      </c>
      <c r="C5" s="476"/>
      <c r="D5" s="476"/>
      <c r="E5" s="476"/>
      <c r="F5" s="476"/>
      <c r="G5" s="476"/>
      <c r="H5" s="476"/>
      <c r="I5" s="476"/>
      <c r="J5" s="477"/>
      <c r="K5" s="476" t="s">
        <v>185</v>
      </c>
      <c r="L5" s="476" t="s">
        <v>175</v>
      </c>
      <c r="M5" s="476"/>
      <c r="N5" s="476"/>
      <c r="O5" s="179" t="s">
        <v>179</v>
      </c>
      <c r="P5" s="179" t="s">
        <v>348</v>
      </c>
      <c r="Q5" s="476" t="s">
        <v>285</v>
      </c>
      <c r="R5" s="476"/>
      <c r="S5" s="183" t="s">
        <v>500</v>
      </c>
      <c r="T5" s="50"/>
      <c r="V5" s="29"/>
      <c r="W5" s="29"/>
      <c r="X5" s="29"/>
      <c r="Y5" s="29"/>
    </row>
    <row r="6" spans="2:25" ht="13.5" customHeight="1">
      <c r="B6" s="478"/>
      <c r="C6" s="479"/>
      <c r="D6" s="479"/>
      <c r="E6" s="479"/>
      <c r="F6" s="479"/>
      <c r="G6" s="479"/>
      <c r="H6" s="479"/>
      <c r="I6" s="479"/>
      <c r="J6" s="480"/>
      <c r="K6" s="479"/>
      <c r="L6" s="145" t="s">
        <v>363</v>
      </c>
      <c r="M6" s="160" t="s">
        <v>182</v>
      </c>
      <c r="N6" s="160" t="s">
        <v>183</v>
      </c>
      <c r="O6" s="180" t="s">
        <v>184</v>
      </c>
      <c r="P6" s="180" t="s">
        <v>508</v>
      </c>
      <c r="Q6" s="145" t="s">
        <v>286</v>
      </c>
      <c r="R6" s="146" t="s">
        <v>287</v>
      </c>
      <c r="S6" s="184" t="s">
        <v>511</v>
      </c>
      <c r="T6" s="50"/>
      <c r="V6" s="29"/>
      <c r="W6" s="29"/>
      <c r="X6" s="29"/>
      <c r="Y6" s="29"/>
    </row>
    <row r="7" spans="3:25" ht="10.5" customHeight="1">
      <c r="C7" s="39"/>
      <c r="D7" s="39"/>
      <c r="E7" s="39"/>
      <c r="F7" s="39"/>
      <c r="G7" s="39"/>
      <c r="H7" s="39"/>
      <c r="I7" s="39"/>
      <c r="J7" s="307"/>
      <c r="K7" s="224"/>
      <c r="L7" s="28"/>
      <c r="M7" s="28"/>
      <c r="N7" s="28"/>
      <c r="O7" s="28"/>
      <c r="P7" s="28"/>
      <c r="Q7" s="39"/>
      <c r="R7" s="1" t="s">
        <v>512</v>
      </c>
      <c r="S7" s="50"/>
      <c r="T7" s="28"/>
      <c r="V7" s="39"/>
      <c r="W7" s="39"/>
      <c r="X7" s="29"/>
      <c r="Y7" s="29"/>
    </row>
    <row r="8" spans="10:25" ht="8.25" customHeight="1">
      <c r="J8" s="149"/>
      <c r="K8" s="29"/>
      <c r="L8" s="29"/>
      <c r="M8" s="29"/>
      <c r="N8" s="29"/>
      <c r="V8" s="29"/>
      <c r="W8" s="29"/>
      <c r="X8" s="29"/>
      <c r="Y8" s="29"/>
    </row>
    <row r="9" spans="3:25" s="30" customFormat="1" ht="10.5" customHeight="1">
      <c r="C9" s="481" t="s">
        <v>321</v>
      </c>
      <c r="D9" s="481"/>
      <c r="E9" s="481"/>
      <c r="F9" s="481"/>
      <c r="G9" s="481"/>
      <c r="H9" s="481"/>
      <c r="I9" s="481"/>
      <c r="J9" s="299"/>
      <c r="K9" s="102">
        <v>5753</v>
      </c>
      <c r="L9" s="102">
        <v>12535</v>
      </c>
      <c r="M9" s="102">
        <v>6263</v>
      </c>
      <c r="N9" s="102">
        <v>6272</v>
      </c>
      <c r="O9" s="112">
        <f>SUM(L9/Y9)</f>
        <v>16279.22077922078</v>
      </c>
      <c r="P9" s="98">
        <f>ROUND(L9/K9,2)</f>
        <v>2.18</v>
      </c>
      <c r="Q9" s="96">
        <f>SUM(L9-S9)</f>
        <v>-21</v>
      </c>
      <c r="R9" s="99">
        <f>ROUND((Q9/S9)*100,2)</f>
        <v>-0.17</v>
      </c>
      <c r="S9" s="102">
        <v>12556</v>
      </c>
      <c r="V9" s="481" t="s">
        <v>321</v>
      </c>
      <c r="W9" s="481"/>
      <c r="X9" s="110">
        <f>SUM(X10:X12)</f>
        <v>0.771</v>
      </c>
      <c r="Y9" s="301">
        <f>ROUND(X9,2)</f>
        <v>0.77</v>
      </c>
    </row>
    <row r="10" spans="3:25" ht="10.5" customHeight="1">
      <c r="C10" s="59"/>
      <c r="D10" s="59"/>
      <c r="E10" s="59"/>
      <c r="F10" s="482" t="s">
        <v>289</v>
      </c>
      <c r="G10" s="482"/>
      <c r="H10" s="482"/>
      <c r="I10" s="482"/>
      <c r="J10" s="305"/>
      <c r="K10" s="103">
        <v>1630</v>
      </c>
      <c r="L10" s="103">
        <v>4018</v>
      </c>
      <c r="M10" s="103">
        <v>1980</v>
      </c>
      <c r="N10" s="103">
        <v>2038</v>
      </c>
      <c r="O10" s="113">
        <f>SUM(L10/Y10)</f>
        <v>16072</v>
      </c>
      <c r="P10" s="62">
        <f>ROUND(L10/K10,2)</f>
        <v>2.47</v>
      </c>
      <c r="Q10" s="54">
        <f>SUM(L10-S10)</f>
        <v>152</v>
      </c>
      <c r="R10" s="63">
        <f>ROUND((Q10/S10)*100,2)</f>
        <v>3.93</v>
      </c>
      <c r="S10" s="103">
        <v>3866</v>
      </c>
      <c r="V10" s="59"/>
      <c r="W10" s="82" t="s">
        <v>289</v>
      </c>
      <c r="X10" s="111">
        <v>0.246</v>
      </c>
      <c r="Y10" s="302">
        <f>ROUND(X10,2)</f>
        <v>0.25</v>
      </c>
    </row>
    <row r="11" spans="3:25" ht="10.5" customHeight="1">
      <c r="C11" s="59"/>
      <c r="D11" s="59"/>
      <c r="E11" s="59"/>
      <c r="F11" s="482" t="s">
        <v>290</v>
      </c>
      <c r="G11" s="482"/>
      <c r="H11" s="482"/>
      <c r="I11" s="482"/>
      <c r="J11" s="305"/>
      <c r="K11" s="103">
        <v>2277</v>
      </c>
      <c r="L11" s="103">
        <v>4645</v>
      </c>
      <c r="M11" s="103">
        <v>2353</v>
      </c>
      <c r="N11" s="103">
        <v>2292</v>
      </c>
      <c r="O11" s="113">
        <f>SUM(L11/Y11)</f>
        <v>15483.333333333334</v>
      </c>
      <c r="P11" s="62">
        <f>ROUND(L11/K11,2)</f>
        <v>2.04</v>
      </c>
      <c r="Q11" s="54">
        <f>SUM(L11-S11)</f>
        <v>-56</v>
      </c>
      <c r="R11" s="63">
        <f>ROUND((Q11/S11)*100,2)</f>
        <v>-1.19</v>
      </c>
      <c r="S11" s="103">
        <v>4701</v>
      </c>
      <c r="V11" s="59"/>
      <c r="W11" s="82" t="s">
        <v>290</v>
      </c>
      <c r="X11" s="111">
        <v>0.296</v>
      </c>
      <c r="Y11" s="302">
        <f>ROUND(X11,2)</f>
        <v>0.3</v>
      </c>
    </row>
    <row r="12" spans="3:25" ht="10.5" customHeight="1">
      <c r="C12" s="59"/>
      <c r="D12" s="59"/>
      <c r="E12" s="59"/>
      <c r="F12" s="482" t="s">
        <v>294</v>
      </c>
      <c r="G12" s="482"/>
      <c r="H12" s="482"/>
      <c r="I12" s="482"/>
      <c r="J12" s="305"/>
      <c r="K12" s="103">
        <v>1846</v>
      </c>
      <c r="L12" s="103">
        <v>3872</v>
      </c>
      <c r="M12" s="103">
        <v>1930</v>
      </c>
      <c r="N12" s="103">
        <v>1942</v>
      </c>
      <c r="O12" s="113">
        <f>SUM(L12/Y12)</f>
        <v>16834.782608695652</v>
      </c>
      <c r="P12" s="62">
        <f>ROUND(L12/K12,2)</f>
        <v>2.1</v>
      </c>
      <c r="Q12" s="54">
        <f>SUM(L12-S12)</f>
        <v>-117</v>
      </c>
      <c r="R12" s="63">
        <f>ROUND((Q12/S12)*100,2)</f>
        <v>-2.93</v>
      </c>
      <c r="S12" s="103">
        <v>3989</v>
      </c>
      <c r="V12" s="59"/>
      <c r="W12" s="82" t="s">
        <v>294</v>
      </c>
      <c r="X12" s="111">
        <v>0.229</v>
      </c>
      <c r="Y12" s="302">
        <f>ROUND(X12,2)</f>
        <v>0.23</v>
      </c>
    </row>
    <row r="13" spans="10:25" ht="8.25" customHeight="1">
      <c r="J13" s="149"/>
      <c r="K13" s="103"/>
      <c r="L13" s="103"/>
      <c r="M13" s="103"/>
      <c r="N13" s="103"/>
      <c r="O13" s="113"/>
      <c r="P13" s="62"/>
      <c r="Q13" s="54"/>
      <c r="R13" s="63"/>
      <c r="S13" s="103"/>
      <c r="V13" s="29"/>
      <c r="W13" s="29"/>
      <c r="X13" s="111"/>
      <c r="Y13" s="302"/>
    </row>
    <row r="14" spans="3:25" s="30" customFormat="1" ht="10.5" customHeight="1">
      <c r="C14" s="481" t="s">
        <v>322</v>
      </c>
      <c r="D14" s="481"/>
      <c r="E14" s="481"/>
      <c r="F14" s="481"/>
      <c r="G14" s="481"/>
      <c r="H14" s="481"/>
      <c r="I14" s="481"/>
      <c r="J14" s="299"/>
      <c r="K14" s="102">
        <v>4473</v>
      </c>
      <c r="L14" s="102">
        <v>11852</v>
      </c>
      <c r="M14" s="102">
        <v>5967</v>
      </c>
      <c r="N14" s="102">
        <v>5885</v>
      </c>
      <c r="O14" s="112">
        <f>SUM(L14/Y14)</f>
        <v>10044.06779661017</v>
      </c>
      <c r="P14" s="98">
        <f>ROUND(L14/K14,2)</f>
        <v>2.65</v>
      </c>
      <c r="Q14" s="96">
        <f>SUM(L14-S14)</f>
        <v>1156</v>
      </c>
      <c r="R14" s="99">
        <f>ROUND((Q14/S14)*100,2)</f>
        <v>10.81</v>
      </c>
      <c r="S14" s="102">
        <v>10696</v>
      </c>
      <c r="V14" s="481" t="s">
        <v>322</v>
      </c>
      <c r="W14" s="481"/>
      <c r="X14" s="110">
        <f>SUM(X15:X18)</f>
        <v>1.183</v>
      </c>
      <c r="Y14" s="301">
        <f>ROUND(X14,2)</f>
        <v>1.18</v>
      </c>
    </row>
    <row r="15" spans="3:25" ht="10.5" customHeight="1">
      <c r="C15" s="59"/>
      <c r="D15" s="59"/>
      <c r="E15" s="59"/>
      <c r="F15" s="482" t="s">
        <v>289</v>
      </c>
      <c r="G15" s="482"/>
      <c r="H15" s="482"/>
      <c r="I15" s="482"/>
      <c r="J15" s="305"/>
      <c r="K15" s="103">
        <v>1200</v>
      </c>
      <c r="L15" s="103">
        <v>3100</v>
      </c>
      <c r="M15" s="103">
        <v>1559</v>
      </c>
      <c r="N15" s="103">
        <v>1541</v>
      </c>
      <c r="O15" s="113">
        <f>SUM(L15/Y15)</f>
        <v>12916.666666666668</v>
      </c>
      <c r="P15" s="62">
        <f>ROUND(L15/K15,2)</f>
        <v>2.58</v>
      </c>
      <c r="Q15" s="54">
        <f>SUM(L15-S15)</f>
        <v>489</v>
      </c>
      <c r="R15" s="63">
        <f>ROUND((Q15/S15)*100,2)</f>
        <v>18.73</v>
      </c>
      <c r="S15" s="103">
        <v>2611</v>
      </c>
      <c r="V15" s="59"/>
      <c r="W15" s="82" t="s">
        <v>289</v>
      </c>
      <c r="X15" s="111">
        <v>0.244</v>
      </c>
      <c r="Y15" s="302">
        <f>ROUND(X15,2)</f>
        <v>0.24</v>
      </c>
    </row>
    <row r="16" spans="3:25" ht="10.5" customHeight="1">
      <c r="C16" s="59"/>
      <c r="D16" s="59"/>
      <c r="E16" s="59"/>
      <c r="F16" s="482" t="s">
        <v>290</v>
      </c>
      <c r="G16" s="482"/>
      <c r="H16" s="482"/>
      <c r="I16" s="482"/>
      <c r="J16" s="305"/>
      <c r="K16" s="103">
        <v>868</v>
      </c>
      <c r="L16" s="103">
        <v>2221</v>
      </c>
      <c r="M16" s="103">
        <v>1104</v>
      </c>
      <c r="N16" s="103">
        <v>1117</v>
      </c>
      <c r="O16" s="113">
        <f>SUM(L16/Y16)</f>
        <v>7658.620689655173</v>
      </c>
      <c r="P16" s="62">
        <f>ROUND(L16/K16,2)</f>
        <v>2.56</v>
      </c>
      <c r="Q16" s="54">
        <f>SUM(L16-S16)</f>
        <v>60</v>
      </c>
      <c r="R16" s="63">
        <f>ROUND((Q16/S16)*100,2)</f>
        <v>2.78</v>
      </c>
      <c r="S16" s="103">
        <v>2161</v>
      </c>
      <c r="V16" s="59"/>
      <c r="W16" s="82" t="s">
        <v>290</v>
      </c>
      <c r="X16" s="111">
        <v>0.293</v>
      </c>
      <c r="Y16" s="302">
        <f>ROUND(X16,2)</f>
        <v>0.29</v>
      </c>
    </row>
    <row r="17" spans="3:25" ht="10.5" customHeight="1">
      <c r="C17" s="59"/>
      <c r="D17" s="59"/>
      <c r="E17" s="59"/>
      <c r="F17" s="482" t="s">
        <v>294</v>
      </c>
      <c r="G17" s="482"/>
      <c r="H17" s="482"/>
      <c r="I17" s="482"/>
      <c r="J17" s="305"/>
      <c r="K17" s="103">
        <v>1298</v>
      </c>
      <c r="L17" s="103">
        <v>3573</v>
      </c>
      <c r="M17" s="103">
        <v>1801</v>
      </c>
      <c r="N17" s="103">
        <v>1772</v>
      </c>
      <c r="O17" s="113">
        <f>SUM(L17/Y17)</f>
        <v>11525.806451612903</v>
      </c>
      <c r="P17" s="62">
        <f>ROUND(L17/K17,2)</f>
        <v>2.75</v>
      </c>
      <c r="Q17" s="54">
        <f>SUM(L17-S17)</f>
        <v>477</v>
      </c>
      <c r="R17" s="63">
        <f>ROUND((Q17/S17)*100,2)</f>
        <v>15.41</v>
      </c>
      <c r="S17" s="103">
        <v>3096</v>
      </c>
      <c r="V17" s="59"/>
      <c r="W17" s="82" t="s">
        <v>294</v>
      </c>
      <c r="X17" s="111">
        <v>0.312</v>
      </c>
      <c r="Y17" s="302">
        <f>ROUND(X17,2)</f>
        <v>0.31</v>
      </c>
    </row>
    <row r="18" spans="3:25" ht="10.5" customHeight="1">
      <c r="C18" s="59"/>
      <c r="D18" s="59"/>
      <c r="E18" s="59"/>
      <c r="F18" s="482" t="s">
        <v>297</v>
      </c>
      <c r="G18" s="482"/>
      <c r="H18" s="482"/>
      <c r="I18" s="482"/>
      <c r="J18" s="305"/>
      <c r="K18" s="103">
        <v>1107</v>
      </c>
      <c r="L18" s="103">
        <v>2958</v>
      </c>
      <c r="M18" s="103">
        <v>1503</v>
      </c>
      <c r="N18" s="103">
        <v>1455</v>
      </c>
      <c r="O18" s="113">
        <f>SUM(L18/Y18)</f>
        <v>8963.636363636364</v>
      </c>
      <c r="P18" s="62">
        <f>ROUND(L18/K18,2)</f>
        <v>2.67</v>
      </c>
      <c r="Q18" s="54">
        <f>SUM(L18-S18)</f>
        <v>130</v>
      </c>
      <c r="R18" s="63">
        <f>ROUND((Q18/S18)*100,2)</f>
        <v>4.6</v>
      </c>
      <c r="S18" s="103">
        <v>2828</v>
      </c>
      <c r="V18" s="59"/>
      <c r="W18" s="82" t="s">
        <v>297</v>
      </c>
      <c r="X18" s="111">
        <v>0.334</v>
      </c>
      <c r="Y18" s="302">
        <f>ROUND(X18,2)</f>
        <v>0.33</v>
      </c>
    </row>
    <row r="19" spans="3:25" ht="8.25" customHeight="1">
      <c r="C19" s="59"/>
      <c r="D19" s="59"/>
      <c r="E19" s="59"/>
      <c r="F19" s="59"/>
      <c r="G19" s="59"/>
      <c r="H19" s="59"/>
      <c r="I19" s="59"/>
      <c r="J19" s="305"/>
      <c r="K19" s="103"/>
      <c r="L19" s="103"/>
      <c r="M19" s="103"/>
      <c r="N19" s="103"/>
      <c r="O19" s="113"/>
      <c r="P19" s="62"/>
      <c r="Q19" s="54"/>
      <c r="R19" s="63"/>
      <c r="S19" s="103"/>
      <c r="V19" s="59"/>
      <c r="W19" s="59"/>
      <c r="X19" s="111"/>
      <c r="Y19" s="302"/>
    </row>
    <row r="20" spans="3:25" s="30" customFormat="1" ht="10.5" customHeight="1">
      <c r="C20" s="481" t="s">
        <v>323</v>
      </c>
      <c r="D20" s="481"/>
      <c r="E20" s="481"/>
      <c r="F20" s="481"/>
      <c r="G20" s="481"/>
      <c r="H20" s="481"/>
      <c r="I20" s="481"/>
      <c r="J20" s="299"/>
      <c r="K20" s="102">
        <v>6581</v>
      </c>
      <c r="L20" s="102">
        <v>14924</v>
      </c>
      <c r="M20" s="102">
        <v>7368</v>
      </c>
      <c r="N20" s="102">
        <v>7556</v>
      </c>
      <c r="O20" s="112">
        <f>SUM(L20/Y20)</f>
        <v>15545.833333333334</v>
      </c>
      <c r="P20" s="98">
        <f>ROUND(L20/K20,2)</f>
        <v>2.27</v>
      </c>
      <c r="Q20" s="96">
        <f>SUM(L20-S20)</f>
        <v>592</v>
      </c>
      <c r="R20" s="99">
        <f>ROUND((Q20/S20)*100,2)</f>
        <v>4.13</v>
      </c>
      <c r="S20" s="102">
        <v>14332</v>
      </c>
      <c r="V20" s="481" t="s">
        <v>323</v>
      </c>
      <c r="W20" s="481"/>
      <c r="X20" s="110">
        <f>SUM(X21:X24)</f>
        <v>0.9610000000000001</v>
      </c>
      <c r="Y20" s="301">
        <f>ROUND(X20,2)</f>
        <v>0.96</v>
      </c>
    </row>
    <row r="21" spans="3:25" ht="10.5" customHeight="1">
      <c r="C21" s="59"/>
      <c r="D21" s="59"/>
      <c r="E21" s="59"/>
      <c r="F21" s="482" t="s">
        <v>289</v>
      </c>
      <c r="G21" s="482"/>
      <c r="H21" s="482"/>
      <c r="I21" s="482"/>
      <c r="J21" s="305"/>
      <c r="K21" s="103">
        <v>1377</v>
      </c>
      <c r="L21" s="103">
        <v>3083</v>
      </c>
      <c r="M21" s="103">
        <v>1586</v>
      </c>
      <c r="N21" s="103">
        <v>1497</v>
      </c>
      <c r="O21" s="113">
        <f>SUM(L21/Y21)</f>
        <v>18135.294117647056</v>
      </c>
      <c r="P21" s="62">
        <f>ROUND(L21/K21,2)</f>
        <v>2.24</v>
      </c>
      <c r="Q21" s="54">
        <f>SUM(L21-S21)</f>
        <v>152</v>
      </c>
      <c r="R21" s="63">
        <f>ROUND((Q21/S21)*100,2)</f>
        <v>5.19</v>
      </c>
      <c r="S21" s="103">
        <v>2931</v>
      </c>
      <c r="V21" s="59"/>
      <c r="W21" s="82" t="s">
        <v>289</v>
      </c>
      <c r="X21" s="111">
        <v>0.168</v>
      </c>
      <c r="Y21" s="302">
        <f>ROUND(X21,2)</f>
        <v>0.17</v>
      </c>
    </row>
    <row r="22" spans="3:25" ht="10.5" customHeight="1">
      <c r="C22" s="59"/>
      <c r="D22" s="59"/>
      <c r="E22" s="59"/>
      <c r="F22" s="482" t="s">
        <v>290</v>
      </c>
      <c r="G22" s="482"/>
      <c r="H22" s="482"/>
      <c r="I22" s="482"/>
      <c r="J22" s="305"/>
      <c r="K22" s="103">
        <v>1977</v>
      </c>
      <c r="L22" s="103">
        <v>4219</v>
      </c>
      <c r="M22" s="103">
        <v>2093</v>
      </c>
      <c r="N22" s="103">
        <v>2126</v>
      </c>
      <c r="O22" s="113">
        <f>SUM(L22/Y22)</f>
        <v>18343.478260869564</v>
      </c>
      <c r="P22" s="62">
        <f>ROUND(L22/K22,2)</f>
        <v>2.13</v>
      </c>
      <c r="Q22" s="54">
        <f>SUM(L22-S22)</f>
        <v>170</v>
      </c>
      <c r="R22" s="63">
        <f>ROUND((Q22/S22)*100,2)</f>
        <v>4.2</v>
      </c>
      <c r="S22" s="103">
        <v>4049</v>
      </c>
      <c r="V22" s="59"/>
      <c r="W22" s="82" t="s">
        <v>290</v>
      </c>
      <c r="X22" s="111">
        <v>0.232</v>
      </c>
      <c r="Y22" s="302">
        <f>ROUND(X22,2)</f>
        <v>0.23</v>
      </c>
    </row>
    <row r="23" spans="3:25" ht="10.5" customHeight="1">
      <c r="C23" s="59"/>
      <c r="D23" s="59"/>
      <c r="E23" s="59"/>
      <c r="F23" s="482" t="s">
        <v>294</v>
      </c>
      <c r="G23" s="482"/>
      <c r="H23" s="482"/>
      <c r="I23" s="482"/>
      <c r="J23" s="305"/>
      <c r="K23" s="103">
        <v>1695</v>
      </c>
      <c r="L23" s="103">
        <v>3758</v>
      </c>
      <c r="M23" s="103">
        <v>1782</v>
      </c>
      <c r="N23" s="103">
        <v>1976</v>
      </c>
      <c r="O23" s="113">
        <f>SUM(L23/Y23)</f>
        <v>14453.846153846152</v>
      </c>
      <c r="P23" s="62">
        <f>ROUND(L23/K23,2)</f>
        <v>2.22</v>
      </c>
      <c r="Q23" s="54">
        <f>SUM(L23-S23)</f>
        <v>-25</v>
      </c>
      <c r="R23" s="63">
        <f>ROUND((Q23/S23)*100,2)</f>
        <v>-0.66</v>
      </c>
      <c r="S23" s="103">
        <v>3783</v>
      </c>
      <c r="V23" s="59"/>
      <c r="W23" s="82" t="s">
        <v>294</v>
      </c>
      <c r="X23" s="111">
        <v>0.257</v>
      </c>
      <c r="Y23" s="302">
        <f>ROUND(X23,2)</f>
        <v>0.26</v>
      </c>
    </row>
    <row r="24" spans="3:25" ht="10.5" customHeight="1">
      <c r="C24" s="59"/>
      <c r="D24" s="59"/>
      <c r="E24" s="59"/>
      <c r="F24" s="482" t="s">
        <v>297</v>
      </c>
      <c r="G24" s="482"/>
      <c r="H24" s="482"/>
      <c r="I24" s="482"/>
      <c r="J24" s="305"/>
      <c r="K24" s="103">
        <v>1532</v>
      </c>
      <c r="L24" s="103">
        <v>3864</v>
      </c>
      <c r="M24" s="103">
        <v>1907</v>
      </c>
      <c r="N24" s="103">
        <v>1957</v>
      </c>
      <c r="O24" s="113">
        <f>SUM(L24/Y24)</f>
        <v>12880</v>
      </c>
      <c r="P24" s="62">
        <f>ROUND(L24/K24,2)</f>
        <v>2.52</v>
      </c>
      <c r="Q24" s="54">
        <f>SUM(L24-S24)</f>
        <v>295</v>
      </c>
      <c r="R24" s="63">
        <f>ROUND((Q24/S24)*100,2)</f>
        <v>8.27</v>
      </c>
      <c r="S24" s="103">
        <v>3569</v>
      </c>
      <c r="V24" s="59"/>
      <c r="W24" s="82" t="s">
        <v>297</v>
      </c>
      <c r="X24" s="111">
        <v>0.304</v>
      </c>
      <c r="Y24" s="302">
        <f>ROUND(X24,2)</f>
        <v>0.3</v>
      </c>
    </row>
    <row r="25" spans="3:25" ht="8.25" customHeight="1">
      <c r="C25" s="59"/>
      <c r="D25" s="59"/>
      <c r="E25" s="59"/>
      <c r="F25" s="59"/>
      <c r="G25" s="59"/>
      <c r="H25" s="59"/>
      <c r="I25" s="59"/>
      <c r="J25" s="305"/>
      <c r="K25" s="103"/>
      <c r="L25" s="103"/>
      <c r="M25" s="103"/>
      <c r="N25" s="103"/>
      <c r="O25" s="113"/>
      <c r="P25" s="62"/>
      <c r="Q25" s="54"/>
      <c r="R25" s="63"/>
      <c r="S25" s="103"/>
      <c r="V25" s="59"/>
      <c r="W25" s="59"/>
      <c r="X25" s="111"/>
      <c r="Y25" s="302"/>
    </row>
    <row r="26" spans="3:25" s="30" customFormat="1" ht="10.5" customHeight="1">
      <c r="C26" s="481" t="s">
        <v>324</v>
      </c>
      <c r="D26" s="481"/>
      <c r="E26" s="481"/>
      <c r="F26" s="481"/>
      <c r="G26" s="481"/>
      <c r="H26" s="481"/>
      <c r="I26" s="481"/>
      <c r="J26" s="299"/>
      <c r="K26" s="102">
        <v>5106</v>
      </c>
      <c r="L26" s="102">
        <v>11216</v>
      </c>
      <c r="M26" s="102">
        <v>5469</v>
      </c>
      <c r="N26" s="102">
        <v>5747</v>
      </c>
      <c r="O26" s="112">
        <f aca="true" t="shared" si="0" ref="O26:O31">SUM(L26/Y26)</f>
        <v>12060.21505376344</v>
      </c>
      <c r="P26" s="98">
        <f aca="true" t="shared" si="1" ref="P26:P31">ROUND(L26/K26,2)</f>
        <v>2.2</v>
      </c>
      <c r="Q26" s="96">
        <f aca="true" t="shared" si="2" ref="Q26:Q31">SUM(L26-S26)</f>
        <v>495</v>
      </c>
      <c r="R26" s="99">
        <f aca="true" t="shared" si="3" ref="R26:R31">ROUND((Q26/S26)*100,2)</f>
        <v>4.62</v>
      </c>
      <c r="S26" s="102">
        <v>10721</v>
      </c>
      <c r="V26" s="481" t="s">
        <v>324</v>
      </c>
      <c r="W26" s="481"/>
      <c r="X26" s="110">
        <f>SUM(X27:X31)</f>
        <v>0.929</v>
      </c>
      <c r="Y26" s="301">
        <f aca="true" t="shared" si="4" ref="Y26:Y31">ROUND(X26,2)</f>
        <v>0.93</v>
      </c>
    </row>
    <row r="27" spans="3:25" ht="10.5" customHeight="1">
      <c r="C27" s="59"/>
      <c r="D27" s="59"/>
      <c r="E27" s="59"/>
      <c r="F27" s="482" t="s">
        <v>289</v>
      </c>
      <c r="G27" s="482"/>
      <c r="H27" s="482"/>
      <c r="I27" s="482"/>
      <c r="J27" s="305"/>
      <c r="K27" s="103">
        <v>867</v>
      </c>
      <c r="L27" s="103">
        <v>1902</v>
      </c>
      <c r="M27" s="103">
        <v>974</v>
      </c>
      <c r="N27" s="103">
        <v>928</v>
      </c>
      <c r="O27" s="113">
        <f t="shared" si="0"/>
        <v>11188.235294117647</v>
      </c>
      <c r="P27" s="62">
        <f t="shared" si="1"/>
        <v>2.19</v>
      </c>
      <c r="Q27" s="54">
        <f t="shared" si="2"/>
        <v>173</v>
      </c>
      <c r="R27" s="63">
        <f t="shared" si="3"/>
        <v>10.01</v>
      </c>
      <c r="S27" s="103">
        <v>1729</v>
      </c>
      <c r="V27" s="59"/>
      <c r="W27" s="82" t="s">
        <v>289</v>
      </c>
      <c r="X27" s="111">
        <v>0.174</v>
      </c>
      <c r="Y27" s="302">
        <f t="shared" si="4"/>
        <v>0.17</v>
      </c>
    </row>
    <row r="28" spans="3:25" ht="10.5" customHeight="1">
      <c r="C28" s="59"/>
      <c r="D28" s="59"/>
      <c r="E28" s="59"/>
      <c r="F28" s="482" t="s">
        <v>290</v>
      </c>
      <c r="G28" s="482"/>
      <c r="H28" s="482"/>
      <c r="I28" s="482"/>
      <c r="J28" s="305"/>
      <c r="K28" s="103">
        <v>673</v>
      </c>
      <c r="L28" s="103">
        <v>1632</v>
      </c>
      <c r="M28" s="103">
        <v>822</v>
      </c>
      <c r="N28" s="103">
        <v>810</v>
      </c>
      <c r="O28" s="113">
        <f t="shared" si="0"/>
        <v>9600</v>
      </c>
      <c r="P28" s="62">
        <f t="shared" si="1"/>
        <v>2.42</v>
      </c>
      <c r="Q28" s="54">
        <f t="shared" si="2"/>
        <v>237</v>
      </c>
      <c r="R28" s="63">
        <f t="shared" si="3"/>
        <v>16.99</v>
      </c>
      <c r="S28" s="103">
        <v>1395</v>
      </c>
      <c r="V28" s="59"/>
      <c r="W28" s="82" t="s">
        <v>290</v>
      </c>
      <c r="X28" s="111">
        <v>0.171</v>
      </c>
      <c r="Y28" s="302">
        <f t="shared" si="4"/>
        <v>0.17</v>
      </c>
    </row>
    <row r="29" spans="3:25" ht="10.5" customHeight="1">
      <c r="C29" s="59"/>
      <c r="D29" s="59"/>
      <c r="E29" s="59"/>
      <c r="F29" s="482" t="s">
        <v>294</v>
      </c>
      <c r="G29" s="482"/>
      <c r="H29" s="482"/>
      <c r="I29" s="482"/>
      <c r="J29" s="305"/>
      <c r="K29" s="103">
        <v>1118</v>
      </c>
      <c r="L29" s="103">
        <v>2456</v>
      </c>
      <c r="M29" s="103">
        <v>1122</v>
      </c>
      <c r="N29" s="103">
        <v>1334</v>
      </c>
      <c r="O29" s="113">
        <f t="shared" si="0"/>
        <v>12926.315789473683</v>
      </c>
      <c r="P29" s="62">
        <f t="shared" si="1"/>
        <v>2.2</v>
      </c>
      <c r="Q29" s="54">
        <f t="shared" si="2"/>
        <v>-106</v>
      </c>
      <c r="R29" s="63">
        <f t="shared" si="3"/>
        <v>-4.14</v>
      </c>
      <c r="S29" s="103">
        <v>2562</v>
      </c>
      <c r="V29" s="59"/>
      <c r="W29" s="82" t="s">
        <v>294</v>
      </c>
      <c r="X29" s="111">
        <v>0.189</v>
      </c>
      <c r="Y29" s="302">
        <f t="shared" si="4"/>
        <v>0.19</v>
      </c>
    </row>
    <row r="30" spans="3:25" ht="10.5" customHeight="1">
      <c r="C30" s="59"/>
      <c r="D30" s="59"/>
      <c r="E30" s="59"/>
      <c r="F30" s="482" t="s">
        <v>297</v>
      </c>
      <c r="G30" s="482"/>
      <c r="H30" s="482"/>
      <c r="I30" s="482"/>
      <c r="J30" s="305"/>
      <c r="K30" s="103">
        <v>1237</v>
      </c>
      <c r="L30" s="103">
        <v>2846</v>
      </c>
      <c r="M30" s="103">
        <v>1447</v>
      </c>
      <c r="N30" s="103">
        <v>1399</v>
      </c>
      <c r="O30" s="113">
        <f t="shared" si="0"/>
        <v>14230</v>
      </c>
      <c r="P30" s="62">
        <f t="shared" si="1"/>
        <v>2.3</v>
      </c>
      <c r="Q30" s="54">
        <f t="shared" si="2"/>
        <v>129</v>
      </c>
      <c r="R30" s="63">
        <f t="shared" si="3"/>
        <v>4.75</v>
      </c>
      <c r="S30" s="103">
        <v>2717</v>
      </c>
      <c r="V30" s="59"/>
      <c r="W30" s="82" t="s">
        <v>297</v>
      </c>
      <c r="X30" s="111">
        <v>0.202</v>
      </c>
      <c r="Y30" s="302">
        <f t="shared" si="4"/>
        <v>0.2</v>
      </c>
    </row>
    <row r="31" spans="3:25" ht="10.5" customHeight="1">
      <c r="C31" s="59"/>
      <c r="D31" s="59"/>
      <c r="E31" s="59"/>
      <c r="F31" s="482" t="s">
        <v>300</v>
      </c>
      <c r="G31" s="482"/>
      <c r="H31" s="482"/>
      <c r="I31" s="482"/>
      <c r="J31" s="305"/>
      <c r="K31" s="103">
        <v>1211</v>
      </c>
      <c r="L31" s="103">
        <v>2380</v>
      </c>
      <c r="M31" s="103">
        <v>1104</v>
      </c>
      <c r="N31" s="103">
        <v>1276</v>
      </c>
      <c r="O31" s="113">
        <f t="shared" si="0"/>
        <v>12526.315789473683</v>
      </c>
      <c r="P31" s="62">
        <f t="shared" si="1"/>
        <v>1.97</v>
      </c>
      <c r="Q31" s="54">
        <f t="shared" si="2"/>
        <v>62</v>
      </c>
      <c r="R31" s="63">
        <f t="shared" si="3"/>
        <v>2.67</v>
      </c>
      <c r="S31" s="103">
        <v>2318</v>
      </c>
      <c r="V31" s="59"/>
      <c r="W31" s="82" t="s">
        <v>300</v>
      </c>
      <c r="X31" s="111">
        <v>0.193</v>
      </c>
      <c r="Y31" s="302">
        <f t="shared" si="4"/>
        <v>0.19</v>
      </c>
    </row>
    <row r="32" spans="10:25" ht="8.25" customHeight="1">
      <c r="J32" s="149"/>
      <c r="K32" s="103"/>
      <c r="L32" s="103"/>
      <c r="M32" s="103"/>
      <c r="N32" s="103"/>
      <c r="O32" s="113"/>
      <c r="P32" s="62"/>
      <c r="Q32" s="54"/>
      <c r="R32" s="63"/>
      <c r="S32" s="103"/>
      <c r="V32" s="29"/>
      <c r="W32" s="29"/>
      <c r="X32" s="111"/>
      <c r="Y32" s="302"/>
    </row>
    <row r="33" spans="3:25" s="30" customFormat="1" ht="10.5" customHeight="1">
      <c r="C33" s="481" t="s">
        <v>325</v>
      </c>
      <c r="D33" s="481"/>
      <c r="E33" s="481"/>
      <c r="F33" s="481"/>
      <c r="G33" s="481"/>
      <c r="H33" s="481"/>
      <c r="I33" s="481"/>
      <c r="J33" s="299"/>
      <c r="K33" s="102">
        <v>5533</v>
      </c>
      <c r="L33" s="102">
        <v>12743</v>
      </c>
      <c r="M33" s="102">
        <v>6248</v>
      </c>
      <c r="N33" s="102">
        <v>6495</v>
      </c>
      <c r="O33" s="112">
        <f aca="true" t="shared" si="5" ref="O33:O38">SUM(L33/Y33)</f>
        <v>13702.150537634408</v>
      </c>
      <c r="P33" s="98">
        <f aca="true" t="shared" si="6" ref="P33:P38">ROUND(L33/K33,2)</f>
        <v>2.3</v>
      </c>
      <c r="Q33" s="96">
        <f aca="true" t="shared" si="7" ref="Q33:Q38">SUM(L33-S33)</f>
        <v>1021</v>
      </c>
      <c r="R33" s="99">
        <f aca="true" t="shared" si="8" ref="R33:R38">ROUND((Q33/S33)*100,2)</f>
        <v>8.71</v>
      </c>
      <c r="S33" s="102">
        <v>11722</v>
      </c>
      <c r="V33" s="481" t="s">
        <v>325</v>
      </c>
      <c r="W33" s="481"/>
      <c r="X33" s="110">
        <f>SUM(X34:X38)</f>
        <v>0.925</v>
      </c>
      <c r="Y33" s="301">
        <f aca="true" t="shared" si="9" ref="Y33:Y38">ROUND(X33,2)</f>
        <v>0.93</v>
      </c>
    </row>
    <row r="34" spans="3:25" ht="10.5" customHeight="1">
      <c r="C34" s="59"/>
      <c r="D34" s="59"/>
      <c r="E34" s="59"/>
      <c r="F34" s="482" t="s">
        <v>289</v>
      </c>
      <c r="G34" s="482"/>
      <c r="H34" s="482"/>
      <c r="I34" s="482"/>
      <c r="J34" s="305"/>
      <c r="K34" s="103">
        <v>1582</v>
      </c>
      <c r="L34" s="103">
        <v>3697</v>
      </c>
      <c r="M34" s="103">
        <v>1742</v>
      </c>
      <c r="N34" s="103">
        <v>1955</v>
      </c>
      <c r="O34" s="113">
        <f t="shared" si="5"/>
        <v>18485</v>
      </c>
      <c r="P34" s="62">
        <f t="shared" si="6"/>
        <v>2.34</v>
      </c>
      <c r="Q34" s="54">
        <f t="shared" si="7"/>
        <v>430</v>
      </c>
      <c r="R34" s="63">
        <f t="shared" si="8"/>
        <v>13.16</v>
      </c>
      <c r="S34" s="103">
        <v>3267</v>
      </c>
      <c r="V34" s="59"/>
      <c r="W34" s="82" t="s">
        <v>289</v>
      </c>
      <c r="X34" s="111">
        <v>0.196</v>
      </c>
      <c r="Y34" s="302">
        <f t="shared" si="9"/>
        <v>0.2</v>
      </c>
    </row>
    <row r="35" spans="3:25" ht="10.5" customHeight="1">
      <c r="C35" s="59"/>
      <c r="D35" s="59"/>
      <c r="E35" s="59"/>
      <c r="F35" s="482" t="s">
        <v>290</v>
      </c>
      <c r="G35" s="482"/>
      <c r="H35" s="482"/>
      <c r="I35" s="482"/>
      <c r="J35" s="305"/>
      <c r="K35" s="103">
        <v>889</v>
      </c>
      <c r="L35" s="103">
        <v>2027</v>
      </c>
      <c r="M35" s="103">
        <v>1017</v>
      </c>
      <c r="N35" s="103">
        <v>1010</v>
      </c>
      <c r="O35" s="113">
        <f t="shared" si="5"/>
        <v>12668.75</v>
      </c>
      <c r="P35" s="62">
        <f t="shared" si="6"/>
        <v>2.28</v>
      </c>
      <c r="Q35" s="54">
        <f t="shared" si="7"/>
        <v>373</v>
      </c>
      <c r="R35" s="63">
        <f t="shared" si="8"/>
        <v>22.55</v>
      </c>
      <c r="S35" s="103">
        <v>1654</v>
      </c>
      <c r="V35" s="59"/>
      <c r="W35" s="82" t="s">
        <v>290</v>
      </c>
      <c r="X35" s="111">
        <v>0.164</v>
      </c>
      <c r="Y35" s="302">
        <f t="shared" si="9"/>
        <v>0.16</v>
      </c>
    </row>
    <row r="36" spans="3:25" ht="10.5" customHeight="1">
      <c r="C36" s="59"/>
      <c r="D36" s="59"/>
      <c r="E36" s="59"/>
      <c r="F36" s="482" t="s">
        <v>294</v>
      </c>
      <c r="G36" s="482"/>
      <c r="H36" s="482"/>
      <c r="I36" s="482"/>
      <c r="J36" s="305"/>
      <c r="K36" s="103">
        <v>1282</v>
      </c>
      <c r="L36" s="103">
        <v>2856</v>
      </c>
      <c r="M36" s="103">
        <v>1406</v>
      </c>
      <c r="N36" s="103">
        <v>1450</v>
      </c>
      <c r="O36" s="113">
        <f t="shared" si="5"/>
        <v>11900</v>
      </c>
      <c r="P36" s="62">
        <f t="shared" si="6"/>
        <v>2.23</v>
      </c>
      <c r="Q36" s="54">
        <f t="shared" si="7"/>
        <v>10</v>
      </c>
      <c r="R36" s="63">
        <f t="shared" si="8"/>
        <v>0.35</v>
      </c>
      <c r="S36" s="103">
        <v>2846</v>
      </c>
      <c r="V36" s="59"/>
      <c r="W36" s="82" t="s">
        <v>294</v>
      </c>
      <c r="X36" s="111">
        <v>0.238</v>
      </c>
      <c r="Y36" s="302">
        <f t="shared" si="9"/>
        <v>0.24</v>
      </c>
    </row>
    <row r="37" spans="3:25" ht="10.5" customHeight="1">
      <c r="C37" s="59"/>
      <c r="D37" s="59"/>
      <c r="E37" s="59"/>
      <c r="F37" s="482" t="s">
        <v>297</v>
      </c>
      <c r="G37" s="482"/>
      <c r="H37" s="482"/>
      <c r="I37" s="482"/>
      <c r="J37" s="305"/>
      <c r="K37" s="103">
        <v>769</v>
      </c>
      <c r="L37" s="103">
        <v>1849</v>
      </c>
      <c r="M37" s="103">
        <v>927</v>
      </c>
      <c r="N37" s="103">
        <v>922</v>
      </c>
      <c r="O37" s="113">
        <f t="shared" si="5"/>
        <v>13207.142857142855</v>
      </c>
      <c r="P37" s="62">
        <f t="shared" si="6"/>
        <v>2.4</v>
      </c>
      <c r="Q37" s="54">
        <f t="shared" si="7"/>
        <v>148</v>
      </c>
      <c r="R37" s="63">
        <f t="shared" si="8"/>
        <v>8.7</v>
      </c>
      <c r="S37" s="103">
        <v>1701</v>
      </c>
      <c r="V37" s="59"/>
      <c r="W37" s="82" t="s">
        <v>297</v>
      </c>
      <c r="X37" s="111">
        <v>0.144</v>
      </c>
      <c r="Y37" s="302">
        <f t="shared" si="9"/>
        <v>0.14</v>
      </c>
    </row>
    <row r="38" spans="3:25" ht="10.5" customHeight="1">
      <c r="C38" s="59"/>
      <c r="D38" s="59"/>
      <c r="E38" s="59"/>
      <c r="F38" s="482" t="s">
        <v>300</v>
      </c>
      <c r="G38" s="482"/>
      <c r="H38" s="482"/>
      <c r="I38" s="482"/>
      <c r="J38" s="305"/>
      <c r="K38" s="103">
        <v>1011</v>
      </c>
      <c r="L38" s="103">
        <v>2314</v>
      </c>
      <c r="M38" s="103">
        <v>1156</v>
      </c>
      <c r="N38" s="103">
        <v>1158</v>
      </c>
      <c r="O38" s="113">
        <f t="shared" si="5"/>
        <v>12855.555555555557</v>
      </c>
      <c r="P38" s="62">
        <f t="shared" si="6"/>
        <v>2.29</v>
      </c>
      <c r="Q38" s="54">
        <f t="shared" si="7"/>
        <v>60</v>
      </c>
      <c r="R38" s="63">
        <f t="shared" si="8"/>
        <v>2.66</v>
      </c>
      <c r="S38" s="103">
        <v>2254</v>
      </c>
      <c r="V38" s="59"/>
      <c r="W38" s="82" t="s">
        <v>300</v>
      </c>
      <c r="X38" s="111">
        <v>0.183</v>
      </c>
      <c r="Y38" s="302">
        <f t="shared" si="9"/>
        <v>0.18</v>
      </c>
    </row>
    <row r="39" spans="3:25" ht="8.25" customHeight="1">
      <c r="C39" s="59"/>
      <c r="D39" s="59"/>
      <c r="E39" s="59"/>
      <c r="F39" s="59"/>
      <c r="G39" s="59"/>
      <c r="H39" s="59"/>
      <c r="I39" s="59"/>
      <c r="J39" s="305"/>
      <c r="K39" s="103"/>
      <c r="L39" s="103"/>
      <c r="M39" s="103"/>
      <c r="N39" s="103"/>
      <c r="O39" s="113"/>
      <c r="P39" s="62"/>
      <c r="Q39" s="54"/>
      <c r="R39" s="63"/>
      <c r="S39" s="103"/>
      <c r="V39" s="59"/>
      <c r="W39" s="59"/>
      <c r="X39" s="111"/>
      <c r="Y39" s="302"/>
    </row>
    <row r="40" spans="3:25" s="30" customFormat="1" ht="10.5" customHeight="1">
      <c r="C40" s="481" t="s">
        <v>326</v>
      </c>
      <c r="D40" s="481"/>
      <c r="E40" s="481"/>
      <c r="F40" s="481"/>
      <c r="G40" s="481"/>
      <c r="H40" s="481"/>
      <c r="I40" s="481"/>
      <c r="J40" s="299"/>
      <c r="K40" s="102">
        <v>4016</v>
      </c>
      <c r="L40" s="102">
        <v>10263</v>
      </c>
      <c r="M40" s="102">
        <v>5119</v>
      </c>
      <c r="N40" s="102">
        <v>5144</v>
      </c>
      <c r="O40" s="112">
        <f aca="true" t="shared" si="10" ref="O40:O46">SUM(L40/Y40)</f>
        <v>9082.300884955754</v>
      </c>
      <c r="P40" s="98">
        <f aca="true" t="shared" si="11" ref="P40:P46">ROUND(L40/K40,2)</f>
        <v>2.56</v>
      </c>
      <c r="Q40" s="96">
        <f aca="true" t="shared" si="12" ref="Q40:Q46">SUM(L40-S40)</f>
        <v>804</v>
      </c>
      <c r="R40" s="99">
        <f aca="true" t="shared" si="13" ref="R40:R46">ROUND((Q40/S40)*100,2)</f>
        <v>8.5</v>
      </c>
      <c r="S40" s="102">
        <v>9459</v>
      </c>
      <c r="V40" s="481" t="s">
        <v>326</v>
      </c>
      <c r="W40" s="481"/>
      <c r="X40" s="110">
        <f>SUM(X41:X46)</f>
        <v>1.133</v>
      </c>
      <c r="Y40" s="301">
        <f aca="true" t="shared" si="14" ref="Y40:Y46">ROUND(X40,2)</f>
        <v>1.13</v>
      </c>
    </row>
    <row r="41" spans="3:25" ht="10.5" customHeight="1">
      <c r="C41" s="59"/>
      <c r="D41" s="59"/>
      <c r="E41" s="59"/>
      <c r="F41" s="482" t="s">
        <v>289</v>
      </c>
      <c r="G41" s="482"/>
      <c r="H41" s="482"/>
      <c r="I41" s="482"/>
      <c r="J41" s="305"/>
      <c r="K41" s="103">
        <v>513</v>
      </c>
      <c r="L41" s="103">
        <v>1287</v>
      </c>
      <c r="M41" s="103">
        <v>670</v>
      </c>
      <c r="N41" s="103">
        <v>617</v>
      </c>
      <c r="O41" s="113">
        <f t="shared" si="10"/>
        <v>5595.652173913043</v>
      </c>
      <c r="P41" s="62">
        <f t="shared" si="11"/>
        <v>2.51</v>
      </c>
      <c r="Q41" s="54">
        <f t="shared" si="12"/>
        <v>335</v>
      </c>
      <c r="R41" s="63">
        <f t="shared" si="13"/>
        <v>35.19</v>
      </c>
      <c r="S41" s="103">
        <v>952</v>
      </c>
      <c r="V41" s="59"/>
      <c r="W41" s="82" t="s">
        <v>289</v>
      </c>
      <c r="X41" s="111">
        <v>0.232</v>
      </c>
      <c r="Y41" s="302">
        <f t="shared" si="14"/>
        <v>0.23</v>
      </c>
    </row>
    <row r="42" spans="3:25" ht="10.5" customHeight="1">
      <c r="C42" s="59"/>
      <c r="D42" s="59"/>
      <c r="E42" s="59"/>
      <c r="F42" s="482" t="s">
        <v>290</v>
      </c>
      <c r="G42" s="482"/>
      <c r="H42" s="482"/>
      <c r="I42" s="482"/>
      <c r="J42" s="305"/>
      <c r="K42" s="103">
        <v>656</v>
      </c>
      <c r="L42" s="103">
        <v>1605</v>
      </c>
      <c r="M42" s="103">
        <v>811</v>
      </c>
      <c r="N42" s="103">
        <v>794</v>
      </c>
      <c r="O42" s="113">
        <f t="shared" si="10"/>
        <v>11464.285714285714</v>
      </c>
      <c r="P42" s="62">
        <f t="shared" si="11"/>
        <v>2.45</v>
      </c>
      <c r="Q42" s="54">
        <f t="shared" si="12"/>
        <v>-8</v>
      </c>
      <c r="R42" s="63">
        <f t="shared" si="13"/>
        <v>-0.5</v>
      </c>
      <c r="S42" s="103">
        <v>1613</v>
      </c>
      <c r="V42" s="59"/>
      <c r="W42" s="82" t="s">
        <v>290</v>
      </c>
      <c r="X42" s="111">
        <v>0.141</v>
      </c>
      <c r="Y42" s="302">
        <f t="shared" si="14"/>
        <v>0.14</v>
      </c>
    </row>
    <row r="43" spans="3:25" ht="10.5" customHeight="1">
      <c r="C43" s="59"/>
      <c r="D43" s="59"/>
      <c r="E43" s="59"/>
      <c r="F43" s="482" t="s">
        <v>294</v>
      </c>
      <c r="G43" s="482"/>
      <c r="H43" s="482"/>
      <c r="I43" s="482"/>
      <c r="J43" s="305"/>
      <c r="K43" s="103">
        <v>647</v>
      </c>
      <c r="L43" s="103">
        <v>1600</v>
      </c>
      <c r="M43" s="103">
        <v>770</v>
      </c>
      <c r="N43" s="103">
        <v>830</v>
      </c>
      <c r="O43" s="113">
        <f t="shared" si="10"/>
        <v>10000</v>
      </c>
      <c r="P43" s="62">
        <f t="shared" si="11"/>
        <v>2.47</v>
      </c>
      <c r="Q43" s="54">
        <f t="shared" si="12"/>
        <v>79</v>
      </c>
      <c r="R43" s="63">
        <f t="shared" si="13"/>
        <v>5.19</v>
      </c>
      <c r="S43" s="103">
        <v>1521</v>
      </c>
      <c r="V43" s="59"/>
      <c r="W43" s="82" t="s">
        <v>294</v>
      </c>
      <c r="X43" s="111">
        <v>0.163</v>
      </c>
      <c r="Y43" s="302">
        <f t="shared" si="14"/>
        <v>0.16</v>
      </c>
    </row>
    <row r="44" spans="3:25" ht="10.5" customHeight="1">
      <c r="C44" s="59"/>
      <c r="D44" s="59"/>
      <c r="E44" s="59"/>
      <c r="F44" s="482" t="s">
        <v>297</v>
      </c>
      <c r="G44" s="482"/>
      <c r="H44" s="482"/>
      <c r="I44" s="482"/>
      <c r="J44" s="305"/>
      <c r="K44" s="103">
        <v>508</v>
      </c>
      <c r="L44" s="103">
        <v>1357</v>
      </c>
      <c r="M44" s="103">
        <v>679</v>
      </c>
      <c r="N44" s="103">
        <v>678</v>
      </c>
      <c r="O44" s="113">
        <f t="shared" si="10"/>
        <v>7142.105263157895</v>
      </c>
      <c r="P44" s="62">
        <f t="shared" si="11"/>
        <v>2.67</v>
      </c>
      <c r="Q44" s="54">
        <f t="shared" si="12"/>
        <v>129</v>
      </c>
      <c r="R44" s="63">
        <f t="shared" si="13"/>
        <v>10.5</v>
      </c>
      <c r="S44" s="103">
        <v>1228</v>
      </c>
      <c r="V44" s="59"/>
      <c r="W44" s="82" t="s">
        <v>297</v>
      </c>
      <c r="X44" s="111">
        <v>0.191</v>
      </c>
      <c r="Y44" s="302">
        <f t="shared" si="14"/>
        <v>0.19</v>
      </c>
    </row>
    <row r="45" spans="3:25" ht="10.5" customHeight="1">
      <c r="C45" s="59"/>
      <c r="D45" s="59"/>
      <c r="E45" s="59"/>
      <c r="F45" s="482" t="s">
        <v>300</v>
      </c>
      <c r="G45" s="482"/>
      <c r="H45" s="482"/>
      <c r="I45" s="482"/>
      <c r="J45" s="305"/>
      <c r="K45" s="103">
        <v>898</v>
      </c>
      <c r="L45" s="103">
        <v>2217</v>
      </c>
      <c r="M45" s="103">
        <v>1097</v>
      </c>
      <c r="N45" s="103">
        <v>1120</v>
      </c>
      <c r="O45" s="113">
        <f t="shared" si="10"/>
        <v>9639.130434782608</v>
      </c>
      <c r="P45" s="62">
        <f t="shared" si="11"/>
        <v>2.47</v>
      </c>
      <c r="Q45" s="54">
        <f t="shared" si="12"/>
        <v>109</v>
      </c>
      <c r="R45" s="63">
        <f t="shared" si="13"/>
        <v>5.17</v>
      </c>
      <c r="S45" s="103">
        <v>2108</v>
      </c>
      <c r="V45" s="59"/>
      <c r="W45" s="82" t="s">
        <v>300</v>
      </c>
      <c r="X45" s="111">
        <v>0.228</v>
      </c>
      <c r="Y45" s="302">
        <f t="shared" si="14"/>
        <v>0.23</v>
      </c>
    </row>
    <row r="46" spans="3:25" ht="10.5" customHeight="1">
      <c r="C46" s="59"/>
      <c r="D46" s="59"/>
      <c r="E46" s="59"/>
      <c r="F46" s="482" t="s">
        <v>301</v>
      </c>
      <c r="G46" s="482"/>
      <c r="H46" s="482"/>
      <c r="I46" s="482"/>
      <c r="J46" s="305"/>
      <c r="K46" s="103">
        <v>794</v>
      </c>
      <c r="L46" s="103">
        <v>2197</v>
      </c>
      <c r="M46" s="103">
        <v>1092</v>
      </c>
      <c r="N46" s="103">
        <v>1105</v>
      </c>
      <c r="O46" s="113">
        <f t="shared" si="10"/>
        <v>12205.555555555557</v>
      </c>
      <c r="P46" s="62">
        <f t="shared" si="11"/>
        <v>2.77</v>
      </c>
      <c r="Q46" s="54">
        <f t="shared" si="12"/>
        <v>160</v>
      </c>
      <c r="R46" s="63">
        <f t="shared" si="13"/>
        <v>7.85</v>
      </c>
      <c r="S46" s="103">
        <v>2037</v>
      </c>
      <c r="V46" s="59"/>
      <c r="W46" s="82" t="s">
        <v>301</v>
      </c>
      <c r="X46" s="111">
        <v>0.178</v>
      </c>
      <c r="Y46" s="302">
        <f t="shared" si="14"/>
        <v>0.18</v>
      </c>
    </row>
    <row r="47" spans="3:25" ht="8.25" customHeight="1">
      <c r="C47" s="59"/>
      <c r="D47" s="59"/>
      <c r="E47" s="59"/>
      <c r="F47" s="59"/>
      <c r="G47" s="59"/>
      <c r="H47" s="59"/>
      <c r="I47" s="59"/>
      <c r="J47" s="305"/>
      <c r="K47" s="103"/>
      <c r="L47" s="103"/>
      <c r="M47" s="103"/>
      <c r="N47" s="103"/>
      <c r="O47" s="113"/>
      <c r="P47" s="62"/>
      <c r="Q47" s="54"/>
      <c r="R47" s="63"/>
      <c r="S47" s="103"/>
      <c r="V47" s="59"/>
      <c r="W47" s="59"/>
      <c r="X47" s="111"/>
      <c r="Y47" s="302"/>
    </row>
    <row r="48" spans="3:25" s="30" customFormat="1" ht="10.5" customHeight="1">
      <c r="C48" s="481" t="s">
        <v>327</v>
      </c>
      <c r="D48" s="481"/>
      <c r="E48" s="481"/>
      <c r="F48" s="481"/>
      <c r="G48" s="481"/>
      <c r="H48" s="481"/>
      <c r="I48" s="481"/>
      <c r="J48" s="299"/>
      <c r="K48" s="102">
        <v>3707</v>
      </c>
      <c r="L48" s="102">
        <v>9217</v>
      </c>
      <c r="M48" s="102">
        <v>4644</v>
      </c>
      <c r="N48" s="102">
        <v>4573</v>
      </c>
      <c r="O48" s="112">
        <f>SUM(L48/Y48)</f>
        <v>14630.15873015873</v>
      </c>
      <c r="P48" s="98">
        <f>ROUND(L48/K48,2)</f>
        <v>2.49</v>
      </c>
      <c r="Q48" s="96">
        <f>SUM(L48-S48)</f>
        <v>829</v>
      </c>
      <c r="R48" s="99">
        <f>ROUND((Q48/S48)*100,2)</f>
        <v>9.88</v>
      </c>
      <c r="S48" s="102">
        <v>8388</v>
      </c>
      <c r="V48" s="481" t="s">
        <v>327</v>
      </c>
      <c r="W48" s="481"/>
      <c r="X48" s="110">
        <f>SUM(X49:X51)</f>
        <v>0.629</v>
      </c>
      <c r="Y48" s="301">
        <f>ROUND(X48,2)</f>
        <v>0.63</v>
      </c>
    </row>
    <row r="49" spans="3:25" s="29" customFormat="1" ht="10.5" customHeight="1">
      <c r="C49" s="59"/>
      <c r="D49" s="59"/>
      <c r="E49" s="59"/>
      <c r="F49" s="482" t="s">
        <v>289</v>
      </c>
      <c r="G49" s="482"/>
      <c r="H49" s="482"/>
      <c r="I49" s="482"/>
      <c r="J49" s="305"/>
      <c r="K49" s="103">
        <v>1667</v>
      </c>
      <c r="L49" s="103">
        <v>3973</v>
      </c>
      <c r="M49" s="103">
        <v>2012</v>
      </c>
      <c r="N49" s="103">
        <v>1961</v>
      </c>
      <c r="O49" s="113">
        <f>SUM(L49/Y49)</f>
        <v>16554.166666666668</v>
      </c>
      <c r="P49" s="62">
        <f>ROUND(L49/K49,2)</f>
        <v>2.38</v>
      </c>
      <c r="Q49" s="54">
        <f>SUM(L49-S49)</f>
        <v>365</v>
      </c>
      <c r="R49" s="63">
        <f>ROUND((Q49/S49)*100,2)</f>
        <v>10.12</v>
      </c>
      <c r="S49" s="103">
        <v>3608</v>
      </c>
      <c r="V49" s="59"/>
      <c r="W49" s="82" t="s">
        <v>289</v>
      </c>
      <c r="X49" s="111">
        <v>0.238</v>
      </c>
      <c r="Y49" s="302">
        <f>ROUND(X49,2)</f>
        <v>0.24</v>
      </c>
    </row>
    <row r="50" spans="3:25" s="29" customFormat="1" ht="10.5" customHeight="1">
      <c r="C50" s="59"/>
      <c r="D50" s="59"/>
      <c r="E50" s="59"/>
      <c r="F50" s="482" t="s">
        <v>290</v>
      </c>
      <c r="G50" s="482"/>
      <c r="H50" s="482"/>
      <c r="I50" s="482"/>
      <c r="J50" s="305"/>
      <c r="K50" s="103">
        <v>707</v>
      </c>
      <c r="L50" s="103">
        <v>1766</v>
      </c>
      <c r="M50" s="103">
        <v>905</v>
      </c>
      <c r="N50" s="103">
        <v>861</v>
      </c>
      <c r="O50" s="113">
        <f>SUM(L50/Y50)</f>
        <v>11037.5</v>
      </c>
      <c r="P50" s="62">
        <f>ROUND(L50/K50,2)</f>
        <v>2.5</v>
      </c>
      <c r="Q50" s="54">
        <f>SUM(L50-S50)</f>
        <v>384</v>
      </c>
      <c r="R50" s="63">
        <f>ROUND((Q50/S50)*100,2)</f>
        <v>27.79</v>
      </c>
      <c r="S50" s="103">
        <v>1382</v>
      </c>
      <c r="V50" s="59"/>
      <c r="W50" s="82" t="s">
        <v>290</v>
      </c>
      <c r="X50" s="111">
        <v>0.156</v>
      </c>
      <c r="Y50" s="302">
        <f>ROUND(X50,2)</f>
        <v>0.16</v>
      </c>
    </row>
    <row r="51" spans="3:25" ht="10.5" customHeight="1">
      <c r="C51" s="59"/>
      <c r="D51" s="59"/>
      <c r="E51" s="59"/>
      <c r="F51" s="482" t="s">
        <v>294</v>
      </c>
      <c r="G51" s="482"/>
      <c r="H51" s="482"/>
      <c r="I51" s="482"/>
      <c r="J51" s="305"/>
      <c r="K51" s="103">
        <v>1333</v>
      </c>
      <c r="L51" s="103">
        <v>3478</v>
      </c>
      <c r="M51" s="103">
        <v>1727</v>
      </c>
      <c r="N51" s="103">
        <v>1751</v>
      </c>
      <c r="O51" s="113">
        <f>SUM(L51/Y51)</f>
        <v>14491.666666666668</v>
      </c>
      <c r="P51" s="62">
        <f>ROUND(L51/K51,2)</f>
        <v>2.61</v>
      </c>
      <c r="Q51" s="54">
        <f>SUM(L51-S51)</f>
        <v>80</v>
      </c>
      <c r="R51" s="63">
        <f>ROUND((Q51/S51)*100,2)</f>
        <v>2.35</v>
      </c>
      <c r="S51" s="103">
        <v>3398</v>
      </c>
      <c r="V51" s="59"/>
      <c r="W51" s="82" t="s">
        <v>294</v>
      </c>
      <c r="X51" s="111">
        <v>0.235</v>
      </c>
      <c r="Y51" s="302">
        <f>ROUND(X51,2)</f>
        <v>0.24</v>
      </c>
    </row>
    <row r="52" spans="3:25" ht="8.25" customHeight="1">
      <c r="C52" s="29"/>
      <c r="D52" s="29"/>
      <c r="E52" s="29"/>
      <c r="F52" s="29"/>
      <c r="G52" s="29"/>
      <c r="H52" s="29"/>
      <c r="I52" s="29"/>
      <c r="J52" s="149"/>
      <c r="K52" s="103"/>
      <c r="L52" s="103"/>
      <c r="M52" s="103"/>
      <c r="N52" s="103"/>
      <c r="O52" s="113"/>
      <c r="P52" s="62"/>
      <c r="Q52" s="54"/>
      <c r="R52" s="63"/>
      <c r="S52" s="104"/>
      <c r="V52" s="29"/>
      <c r="W52" s="29"/>
      <c r="X52" s="111"/>
      <c r="Y52" s="302"/>
    </row>
    <row r="53" spans="3:25" s="30" customFormat="1" ht="10.5" customHeight="1">
      <c r="C53" s="481" t="s">
        <v>328</v>
      </c>
      <c r="D53" s="481"/>
      <c r="E53" s="481"/>
      <c r="F53" s="481"/>
      <c r="G53" s="481"/>
      <c r="H53" s="481"/>
      <c r="I53" s="481"/>
      <c r="J53" s="299"/>
      <c r="K53" s="102">
        <v>12555</v>
      </c>
      <c r="L53" s="102">
        <v>25468</v>
      </c>
      <c r="M53" s="102">
        <v>12469</v>
      </c>
      <c r="N53" s="102">
        <v>12999</v>
      </c>
      <c r="O53" s="112">
        <f aca="true" t="shared" si="15" ref="O53:O61">SUM(L53/Y53)</f>
        <v>13127.835051546392</v>
      </c>
      <c r="P53" s="98">
        <f aca="true" t="shared" si="16" ref="P53:P61">ROUND(L53/K53,2)</f>
        <v>2.03</v>
      </c>
      <c r="Q53" s="96">
        <f aca="true" t="shared" si="17" ref="Q53:Q61">SUM(L53-S53)</f>
        <v>1999</v>
      </c>
      <c r="R53" s="99">
        <f aca="true" t="shared" si="18" ref="R53:R61">ROUND((Q53/S53)*100,2)</f>
        <v>8.52</v>
      </c>
      <c r="S53" s="102">
        <v>23469</v>
      </c>
      <c r="V53" s="481" t="s">
        <v>328</v>
      </c>
      <c r="W53" s="481"/>
      <c r="X53" s="110">
        <f>SUM(X54:X61)</f>
        <v>1.9360000000000002</v>
      </c>
      <c r="Y53" s="301">
        <f aca="true" t="shared" si="19" ref="Y53:Y61">ROUND(X53,2)</f>
        <v>1.94</v>
      </c>
    </row>
    <row r="54" spans="3:25" ht="10.5" customHeight="1">
      <c r="C54" s="59"/>
      <c r="D54" s="59"/>
      <c r="E54" s="59"/>
      <c r="F54" s="482" t="s">
        <v>289</v>
      </c>
      <c r="G54" s="482"/>
      <c r="H54" s="482"/>
      <c r="I54" s="482"/>
      <c r="J54" s="305"/>
      <c r="K54" s="103">
        <v>1641</v>
      </c>
      <c r="L54" s="103">
        <v>3209</v>
      </c>
      <c r="M54" s="103">
        <v>1453</v>
      </c>
      <c r="N54" s="103">
        <v>1756</v>
      </c>
      <c r="O54" s="113">
        <f t="shared" si="15"/>
        <v>13370.833333333334</v>
      </c>
      <c r="P54" s="62">
        <f t="shared" si="16"/>
        <v>1.96</v>
      </c>
      <c r="Q54" s="54">
        <f t="shared" si="17"/>
        <v>-71</v>
      </c>
      <c r="R54" s="63">
        <f t="shared" si="18"/>
        <v>-2.16</v>
      </c>
      <c r="S54" s="103">
        <v>3280</v>
      </c>
      <c r="V54" s="59"/>
      <c r="W54" s="82" t="s">
        <v>289</v>
      </c>
      <c r="X54" s="111">
        <v>0.237</v>
      </c>
      <c r="Y54" s="302">
        <f t="shared" si="19"/>
        <v>0.24</v>
      </c>
    </row>
    <row r="55" spans="3:25" ht="10.5" customHeight="1">
      <c r="C55" s="59"/>
      <c r="D55" s="59"/>
      <c r="E55" s="59"/>
      <c r="F55" s="482" t="s">
        <v>290</v>
      </c>
      <c r="G55" s="482"/>
      <c r="H55" s="482"/>
      <c r="I55" s="482"/>
      <c r="J55" s="305"/>
      <c r="K55" s="103">
        <v>2092</v>
      </c>
      <c r="L55" s="103">
        <v>4408</v>
      </c>
      <c r="M55" s="103">
        <v>2162</v>
      </c>
      <c r="N55" s="103">
        <v>2246</v>
      </c>
      <c r="O55" s="113">
        <f t="shared" si="15"/>
        <v>15742.857142857141</v>
      </c>
      <c r="P55" s="62">
        <f t="shared" si="16"/>
        <v>2.11</v>
      </c>
      <c r="Q55" s="54">
        <f t="shared" si="17"/>
        <v>1230</v>
      </c>
      <c r="R55" s="63">
        <f t="shared" si="18"/>
        <v>38.7</v>
      </c>
      <c r="S55" s="103">
        <v>3178</v>
      </c>
      <c r="V55" s="59"/>
      <c r="W55" s="82" t="s">
        <v>290</v>
      </c>
      <c r="X55" s="111">
        <v>0.276</v>
      </c>
      <c r="Y55" s="302">
        <f t="shared" si="19"/>
        <v>0.28</v>
      </c>
    </row>
    <row r="56" spans="3:25" ht="10.5" customHeight="1">
      <c r="C56" s="59"/>
      <c r="D56" s="59"/>
      <c r="E56" s="59"/>
      <c r="F56" s="482" t="s">
        <v>294</v>
      </c>
      <c r="G56" s="482"/>
      <c r="H56" s="482"/>
      <c r="I56" s="482"/>
      <c r="J56" s="305"/>
      <c r="K56" s="103">
        <v>1409</v>
      </c>
      <c r="L56" s="103">
        <v>2499</v>
      </c>
      <c r="M56" s="103">
        <v>1202</v>
      </c>
      <c r="N56" s="103">
        <v>1297</v>
      </c>
      <c r="O56" s="113">
        <f t="shared" si="15"/>
        <v>15618.75</v>
      </c>
      <c r="P56" s="62">
        <f t="shared" si="16"/>
        <v>1.77</v>
      </c>
      <c r="Q56" s="54">
        <f t="shared" si="17"/>
        <v>14</v>
      </c>
      <c r="R56" s="63">
        <f t="shared" si="18"/>
        <v>0.56</v>
      </c>
      <c r="S56" s="103">
        <v>2485</v>
      </c>
      <c r="V56" s="59"/>
      <c r="W56" s="82" t="s">
        <v>294</v>
      </c>
      <c r="X56" s="111">
        <v>0.163</v>
      </c>
      <c r="Y56" s="302">
        <f t="shared" si="19"/>
        <v>0.16</v>
      </c>
    </row>
    <row r="57" spans="3:25" ht="10.5" customHeight="1">
      <c r="C57" s="59"/>
      <c r="D57" s="59"/>
      <c r="E57" s="59"/>
      <c r="F57" s="482" t="s">
        <v>297</v>
      </c>
      <c r="G57" s="482"/>
      <c r="H57" s="482"/>
      <c r="I57" s="482"/>
      <c r="J57" s="305"/>
      <c r="K57" s="103">
        <v>1400</v>
      </c>
      <c r="L57" s="103">
        <v>2831</v>
      </c>
      <c r="M57" s="103">
        <v>1396</v>
      </c>
      <c r="N57" s="103">
        <v>1435</v>
      </c>
      <c r="O57" s="113">
        <f t="shared" si="15"/>
        <v>14155</v>
      </c>
      <c r="P57" s="62">
        <f t="shared" si="16"/>
        <v>2.02</v>
      </c>
      <c r="Q57" s="54">
        <f t="shared" si="17"/>
        <v>125</v>
      </c>
      <c r="R57" s="63">
        <f t="shared" si="18"/>
        <v>4.62</v>
      </c>
      <c r="S57" s="103">
        <v>2706</v>
      </c>
      <c r="V57" s="59"/>
      <c r="W57" s="82" t="s">
        <v>297</v>
      </c>
      <c r="X57" s="111">
        <v>0.196</v>
      </c>
      <c r="Y57" s="302">
        <f t="shared" si="19"/>
        <v>0.2</v>
      </c>
    </row>
    <row r="58" spans="3:25" ht="10.5" customHeight="1">
      <c r="C58" s="59"/>
      <c r="D58" s="59"/>
      <c r="E58" s="59"/>
      <c r="F58" s="482" t="s">
        <v>300</v>
      </c>
      <c r="G58" s="482"/>
      <c r="H58" s="482"/>
      <c r="I58" s="482"/>
      <c r="J58" s="305"/>
      <c r="K58" s="103">
        <v>798</v>
      </c>
      <c r="L58" s="103">
        <v>1618</v>
      </c>
      <c r="M58" s="103">
        <v>824</v>
      </c>
      <c r="N58" s="103">
        <v>794</v>
      </c>
      <c r="O58" s="113">
        <f t="shared" si="15"/>
        <v>5393.333333333334</v>
      </c>
      <c r="P58" s="62">
        <f t="shared" si="16"/>
        <v>2.03</v>
      </c>
      <c r="Q58" s="54">
        <f t="shared" si="17"/>
        <v>11</v>
      </c>
      <c r="R58" s="63">
        <f t="shared" si="18"/>
        <v>0.68</v>
      </c>
      <c r="S58" s="103">
        <v>1607</v>
      </c>
      <c r="V58" s="59"/>
      <c r="W58" s="82" t="s">
        <v>300</v>
      </c>
      <c r="X58" s="111">
        <v>0.302</v>
      </c>
      <c r="Y58" s="302">
        <f t="shared" si="19"/>
        <v>0.3</v>
      </c>
    </row>
    <row r="59" spans="3:25" ht="10.5" customHeight="1">
      <c r="C59" s="59"/>
      <c r="D59" s="59"/>
      <c r="E59" s="59"/>
      <c r="F59" s="482" t="s">
        <v>301</v>
      </c>
      <c r="G59" s="482"/>
      <c r="H59" s="482"/>
      <c r="I59" s="482"/>
      <c r="J59" s="305"/>
      <c r="K59" s="103">
        <v>1306</v>
      </c>
      <c r="L59" s="103">
        <v>2621</v>
      </c>
      <c r="M59" s="103">
        <v>1306</v>
      </c>
      <c r="N59" s="103">
        <v>1315</v>
      </c>
      <c r="O59" s="113">
        <f t="shared" si="15"/>
        <v>12480.952380952382</v>
      </c>
      <c r="P59" s="62">
        <f t="shared" si="16"/>
        <v>2.01</v>
      </c>
      <c r="Q59" s="54">
        <f t="shared" si="17"/>
        <v>77</v>
      </c>
      <c r="R59" s="63">
        <f t="shared" si="18"/>
        <v>3.03</v>
      </c>
      <c r="S59" s="103">
        <v>2544</v>
      </c>
      <c r="V59" s="59"/>
      <c r="W59" s="82" t="s">
        <v>301</v>
      </c>
      <c r="X59" s="111">
        <v>0.208</v>
      </c>
      <c r="Y59" s="302">
        <f t="shared" si="19"/>
        <v>0.21</v>
      </c>
    </row>
    <row r="60" spans="3:25" ht="10.5" customHeight="1">
      <c r="C60" s="59"/>
      <c r="D60" s="59"/>
      <c r="E60" s="59"/>
      <c r="F60" s="482" t="s">
        <v>316</v>
      </c>
      <c r="G60" s="482"/>
      <c r="H60" s="482"/>
      <c r="I60" s="482"/>
      <c r="J60" s="305"/>
      <c r="K60" s="103">
        <v>1805</v>
      </c>
      <c r="L60" s="103">
        <v>3732</v>
      </c>
      <c r="M60" s="103">
        <v>1908</v>
      </c>
      <c r="N60" s="103">
        <v>1824</v>
      </c>
      <c r="O60" s="113">
        <f t="shared" si="15"/>
        <v>14928</v>
      </c>
      <c r="P60" s="62">
        <f t="shared" si="16"/>
        <v>2.07</v>
      </c>
      <c r="Q60" s="54">
        <f t="shared" si="17"/>
        <v>297</v>
      </c>
      <c r="R60" s="63">
        <f t="shared" si="18"/>
        <v>8.65</v>
      </c>
      <c r="S60" s="103">
        <v>3435</v>
      </c>
      <c r="V60" s="59"/>
      <c r="W60" s="82" t="s">
        <v>316</v>
      </c>
      <c r="X60" s="111">
        <v>0.248</v>
      </c>
      <c r="Y60" s="302">
        <f t="shared" si="19"/>
        <v>0.25</v>
      </c>
    </row>
    <row r="61" spans="3:25" ht="10.5" customHeight="1">
      <c r="C61" s="59"/>
      <c r="D61" s="59"/>
      <c r="E61" s="59"/>
      <c r="F61" s="482" t="s">
        <v>317</v>
      </c>
      <c r="G61" s="482"/>
      <c r="H61" s="482"/>
      <c r="I61" s="482"/>
      <c r="J61" s="305"/>
      <c r="K61" s="103">
        <v>2104</v>
      </c>
      <c r="L61" s="103">
        <v>4550</v>
      </c>
      <c r="M61" s="103">
        <v>2218</v>
      </c>
      <c r="N61" s="103">
        <v>2332</v>
      </c>
      <c r="O61" s="113">
        <f t="shared" si="15"/>
        <v>14677.41935483871</v>
      </c>
      <c r="P61" s="62">
        <f t="shared" si="16"/>
        <v>2.16</v>
      </c>
      <c r="Q61" s="54">
        <f t="shared" si="17"/>
        <v>316</v>
      </c>
      <c r="R61" s="63">
        <f t="shared" si="18"/>
        <v>7.46</v>
      </c>
      <c r="S61" s="103">
        <v>4234</v>
      </c>
      <c r="V61" s="59"/>
      <c r="W61" s="82" t="s">
        <v>317</v>
      </c>
      <c r="X61" s="111">
        <v>0.306</v>
      </c>
      <c r="Y61" s="302">
        <f t="shared" si="19"/>
        <v>0.31</v>
      </c>
    </row>
    <row r="62" spans="3:25" ht="8.25" customHeight="1">
      <c r="C62" s="59"/>
      <c r="D62" s="59"/>
      <c r="E62" s="59"/>
      <c r="F62" s="59"/>
      <c r="G62" s="59"/>
      <c r="H62" s="59"/>
      <c r="I62" s="59"/>
      <c r="J62" s="305"/>
      <c r="K62" s="103"/>
      <c r="L62" s="103"/>
      <c r="M62" s="103"/>
      <c r="N62" s="103"/>
      <c r="O62" s="113"/>
      <c r="P62" s="62"/>
      <c r="Q62" s="54"/>
      <c r="R62" s="63"/>
      <c r="S62" s="103"/>
      <c r="V62" s="59"/>
      <c r="W62" s="59"/>
      <c r="X62" s="111"/>
      <c r="Y62" s="302"/>
    </row>
    <row r="63" spans="3:25" s="30" customFormat="1" ht="10.5" customHeight="1">
      <c r="C63" s="481" t="s">
        <v>329</v>
      </c>
      <c r="D63" s="481"/>
      <c r="E63" s="481"/>
      <c r="F63" s="481"/>
      <c r="G63" s="481"/>
      <c r="H63" s="481"/>
      <c r="I63" s="481"/>
      <c r="J63" s="299"/>
      <c r="K63" s="102">
        <v>12541</v>
      </c>
      <c r="L63" s="102">
        <v>29658</v>
      </c>
      <c r="M63" s="102">
        <v>14694</v>
      </c>
      <c r="N63" s="102">
        <v>14964</v>
      </c>
      <c r="O63" s="112">
        <f aca="true" t="shared" si="20" ref="O63:O71">SUM(L63/Y63)</f>
        <v>13181.333333333334</v>
      </c>
      <c r="P63" s="98">
        <f aca="true" t="shared" si="21" ref="P63:P71">ROUND(L63/K63,2)</f>
        <v>2.36</v>
      </c>
      <c r="Q63" s="96">
        <f aca="true" t="shared" si="22" ref="Q63:Q71">SUM(L63-S63)</f>
        <v>1439</v>
      </c>
      <c r="R63" s="99">
        <f aca="true" t="shared" si="23" ref="R63:R71">ROUND((Q63/S63)*100,2)</f>
        <v>5.1</v>
      </c>
      <c r="S63" s="102">
        <v>28219</v>
      </c>
      <c r="V63" s="481" t="s">
        <v>329</v>
      </c>
      <c r="W63" s="481"/>
      <c r="X63" s="110">
        <f>SUM(X64:X71)</f>
        <v>2.245</v>
      </c>
      <c r="Y63" s="301">
        <f aca="true" t="shared" si="24" ref="Y63:Y71">ROUND(X63,2)</f>
        <v>2.25</v>
      </c>
    </row>
    <row r="64" spans="3:25" ht="10.5" customHeight="1">
      <c r="C64" s="59"/>
      <c r="D64" s="59"/>
      <c r="E64" s="59"/>
      <c r="F64" s="482" t="s">
        <v>289</v>
      </c>
      <c r="G64" s="482"/>
      <c r="H64" s="482"/>
      <c r="I64" s="482"/>
      <c r="J64" s="305"/>
      <c r="K64" s="103">
        <v>604</v>
      </c>
      <c r="L64" s="103">
        <v>1491</v>
      </c>
      <c r="M64" s="103">
        <v>733</v>
      </c>
      <c r="N64" s="103">
        <v>758</v>
      </c>
      <c r="O64" s="113">
        <f t="shared" si="20"/>
        <v>4029.7297297297296</v>
      </c>
      <c r="P64" s="62">
        <f t="shared" si="21"/>
        <v>2.47</v>
      </c>
      <c r="Q64" s="54">
        <f t="shared" si="22"/>
        <v>63</v>
      </c>
      <c r="R64" s="63">
        <f t="shared" si="23"/>
        <v>4.41</v>
      </c>
      <c r="S64" s="103">
        <v>1428</v>
      </c>
      <c r="V64" s="59"/>
      <c r="W64" s="82" t="s">
        <v>289</v>
      </c>
      <c r="X64" s="111">
        <v>0.367</v>
      </c>
      <c r="Y64" s="302">
        <f t="shared" si="24"/>
        <v>0.37</v>
      </c>
    </row>
    <row r="65" spans="3:25" ht="10.5" customHeight="1">
      <c r="C65" s="59"/>
      <c r="D65" s="59"/>
      <c r="E65" s="59"/>
      <c r="F65" s="482" t="s">
        <v>290</v>
      </c>
      <c r="G65" s="482"/>
      <c r="H65" s="482"/>
      <c r="I65" s="482"/>
      <c r="J65" s="305"/>
      <c r="K65" s="103">
        <v>1846</v>
      </c>
      <c r="L65" s="103">
        <v>4480</v>
      </c>
      <c r="M65" s="103">
        <v>2218</v>
      </c>
      <c r="N65" s="103">
        <v>2262</v>
      </c>
      <c r="O65" s="113">
        <f t="shared" si="20"/>
        <v>14451.612903225807</v>
      </c>
      <c r="P65" s="62">
        <f t="shared" si="21"/>
        <v>2.43</v>
      </c>
      <c r="Q65" s="54">
        <f t="shared" si="22"/>
        <v>-3</v>
      </c>
      <c r="R65" s="63">
        <f t="shared" si="23"/>
        <v>-0.07</v>
      </c>
      <c r="S65" s="103">
        <v>4483</v>
      </c>
      <c r="V65" s="59"/>
      <c r="W65" s="82" t="s">
        <v>290</v>
      </c>
      <c r="X65" s="111">
        <v>0.314</v>
      </c>
      <c r="Y65" s="302">
        <f t="shared" si="24"/>
        <v>0.31</v>
      </c>
    </row>
    <row r="66" spans="3:25" ht="10.5" customHeight="1">
      <c r="C66" s="59"/>
      <c r="D66" s="59"/>
      <c r="E66" s="59"/>
      <c r="F66" s="482" t="s">
        <v>294</v>
      </c>
      <c r="G66" s="482"/>
      <c r="H66" s="482"/>
      <c r="I66" s="482"/>
      <c r="J66" s="305"/>
      <c r="K66" s="103">
        <v>2323</v>
      </c>
      <c r="L66" s="103">
        <v>5382</v>
      </c>
      <c r="M66" s="103">
        <v>2681</v>
      </c>
      <c r="N66" s="103">
        <v>2701</v>
      </c>
      <c r="O66" s="113">
        <f t="shared" si="20"/>
        <v>17361.290322580644</v>
      </c>
      <c r="P66" s="62">
        <f t="shared" si="21"/>
        <v>2.32</v>
      </c>
      <c r="Q66" s="54">
        <f t="shared" si="22"/>
        <v>74</v>
      </c>
      <c r="R66" s="63">
        <f t="shared" si="23"/>
        <v>1.39</v>
      </c>
      <c r="S66" s="103">
        <v>5308</v>
      </c>
      <c r="V66" s="59"/>
      <c r="W66" s="82" t="s">
        <v>294</v>
      </c>
      <c r="X66" s="111">
        <v>0.312</v>
      </c>
      <c r="Y66" s="302">
        <f t="shared" si="24"/>
        <v>0.31</v>
      </c>
    </row>
    <row r="67" spans="3:25" ht="10.5" customHeight="1">
      <c r="C67" s="59"/>
      <c r="D67" s="59"/>
      <c r="E67" s="59"/>
      <c r="F67" s="482" t="s">
        <v>297</v>
      </c>
      <c r="G67" s="482"/>
      <c r="H67" s="482"/>
      <c r="I67" s="482"/>
      <c r="J67" s="305"/>
      <c r="K67" s="103">
        <v>2064</v>
      </c>
      <c r="L67" s="103">
        <v>4713</v>
      </c>
      <c r="M67" s="103">
        <v>2157</v>
      </c>
      <c r="N67" s="103">
        <v>2556</v>
      </c>
      <c r="O67" s="113">
        <f t="shared" si="20"/>
        <v>16251.724137931036</v>
      </c>
      <c r="P67" s="62">
        <f t="shared" si="21"/>
        <v>2.28</v>
      </c>
      <c r="Q67" s="54">
        <f t="shared" si="22"/>
        <v>142</v>
      </c>
      <c r="R67" s="63">
        <f t="shared" si="23"/>
        <v>3.11</v>
      </c>
      <c r="S67" s="103">
        <v>4571</v>
      </c>
      <c r="V67" s="59"/>
      <c r="W67" s="82" t="s">
        <v>297</v>
      </c>
      <c r="X67" s="111">
        <v>0.285</v>
      </c>
      <c r="Y67" s="302">
        <f t="shared" si="24"/>
        <v>0.29</v>
      </c>
    </row>
    <row r="68" spans="3:25" ht="10.5" customHeight="1">
      <c r="C68" s="59"/>
      <c r="D68" s="59"/>
      <c r="E68" s="59"/>
      <c r="F68" s="482" t="s">
        <v>300</v>
      </c>
      <c r="G68" s="482"/>
      <c r="H68" s="482"/>
      <c r="I68" s="482"/>
      <c r="J68" s="305"/>
      <c r="K68" s="103">
        <v>1465</v>
      </c>
      <c r="L68" s="103">
        <v>3646</v>
      </c>
      <c r="M68" s="103">
        <v>1903</v>
      </c>
      <c r="N68" s="103">
        <v>1743</v>
      </c>
      <c r="O68" s="113">
        <f t="shared" si="20"/>
        <v>14023.076923076922</v>
      </c>
      <c r="P68" s="62">
        <f t="shared" si="21"/>
        <v>2.49</v>
      </c>
      <c r="Q68" s="54">
        <f t="shared" si="22"/>
        <v>229</v>
      </c>
      <c r="R68" s="63">
        <f t="shared" si="23"/>
        <v>6.7</v>
      </c>
      <c r="S68" s="103">
        <v>3417</v>
      </c>
      <c r="V68" s="59"/>
      <c r="W68" s="82" t="s">
        <v>300</v>
      </c>
      <c r="X68" s="111">
        <v>0.261</v>
      </c>
      <c r="Y68" s="302">
        <f t="shared" si="24"/>
        <v>0.26</v>
      </c>
    </row>
    <row r="69" spans="3:25" ht="10.5" customHeight="1">
      <c r="C69" s="59"/>
      <c r="D69" s="59"/>
      <c r="E69" s="59"/>
      <c r="F69" s="482" t="s">
        <v>301</v>
      </c>
      <c r="G69" s="482"/>
      <c r="H69" s="482"/>
      <c r="I69" s="482"/>
      <c r="J69" s="305"/>
      <c r="K69" s="103">
        <v>1091</v>
      </c>
      <c r="L69" s="103">
        <v>2749</v>
      </c>
      <c r="M69" s="103">
        <v>1378</v>
      </c>
      <c r="N69" s="103">
        <v>1371</v>
      </c>
      <c r="O69" s="113">
        <f t="shared" si="20"/>
        <v>12495.454545454546</v>
      </c>
      <c r="P69" s="62">
        <f t="shared" si="21"/>
        <v>2.52</v>
      </c>
      <c r="Q69" s="54">
        <f t="shared" si="22"/>
        <v>87</v>
      </c>
      <c r="R69" s="63">
        <f t="shared" si="23"/>
        <v>3.27</v>
      </c>
      <c r="S69" s="103">
        <v>2662</v>
      </c>
      <c r="V69" s="59"/>
      <c r="W69" s="82" t="s">
        <v>301</v>
      </c>
      <c r="X69" s="111">
        <v>0.224</v>
      </c>
      <c r="Y69" s="302">
        <f t="shared" si="24"/>
        <v>0.22</v>
      </c>
    </row>
    <row r="70" spans="3:25" ht="10.5" customHeight="1">
      <c r="C70" s="59"/>
      <c r="D70" s="59"/>
      <c r="E70" s="59"/>
      <c r="F70" s="482" t="s">
        <v>316</v>
      </c>
      <c r="G70" s="482"/>
      <c r="H70" s="482"/>
      <c r="I70" s="482"/>
      <c r="J70" s="305"/>
      <c r="K70" s="103">
        <v>1694</v>
      </c>
      <c r="L70" s="103">
        <v>3610</v>
      </c>
      <c r="M70" s="103">
        <v>1808</v>
      </c>
      <c r="N70" s="103">
        <v>1802</v>
      </c>
      <c r="O70" s="113">
        <f t="shared" si="20"/>
        <v>15695.652173913042</v>
      </c>
      <c r="P70" s="62">
        <f t="shared" si="21"/>
        <v>2.13</v>
      </c>
      <c r="Q70" s="54">
        <f t="shared" si="22"/>
        <v>432</v>
      </c>
      <c r="R70" s="63">
        <f t="shared" si="23"/>
        <v>13.59</v>
      </c>
      <c r="S70" s="103">
        <v>3178</v>
      </c>
      <c r="V70" s="59"/>
      <c r="W70" s="82" t="s">
        <v>316</v>
      </c>
      <c r="X70" s="111">
        <v>0.225</v>
      </c>
      <c r="Y70" s="302">
        <f t="shared" si="24"/>
        <v>0.23</v>
      </c>
    </row>
    <row r="71" spans="3:25" ht="10.5" customHeight="1">
      <c r="C71" s="59"/>
      <c r="D71" s="59"/>
      <c r="E71" s="59"/>
      <c r="F71" s="482" t="s">
        <v>317</v>
      </c>
      <c r="G71" s="482"/>
      <c r="H71" s="482"/>
      <c r="I71" s="482"/>
      <c r="J71" s="305"/>
      <c r="K71" s="103">
        <v>1454</v>
      </c>
      <c r="L71" s="103">
        <v>3587</v>
      </c>
      <c r="M71" s="103">
        <v>1816</v>
      </c>
      <c r="N71" s="103">
        <v>1771</v>
      </c>
      <c r="O71" s="113">
        <f t="shared" si="20"/>
        <v>13796.153846153846</v>
      </c>
      <c r="P71" s="62">
        <f t="shared" si="21"/>
        <v>2.47</v>
      </c>
      <c r="Q71" s="54">
        <f t="shared" si="22"/>
        <v>415</v>
      </c>
      <c r="R71" s="63">
        <f t="shared" si="23"/>
        <v>13.08</v>
      </c>
      <c r="S71" s="103">
        <v>3172</v>
      </c>
      <c r="V71" s="59"/>
      <c r="W71" s="82" t="s">
        <v>317</v>
      </c>
      <c r="X71" s="111">
        <v>0.257</v>
      </c>
      <c r="Y71" s="302">
        <f t="shared" si="24"/>
        <v>0.26</v>
      </c>
    </row>
    <row r="72" spans="3:25" ht="8.25" customHeight="1">
      <c r="C72" s="59"/>
      <c r="D72" s="59"/>
      <c r="E72" s="59"/>
      <c r="F72" s="59"/>
      <c r="G72" s="59"/>
      <c r="H72" s="59"/>
      <c r="I72" s="59"/>
      <c r="J72" s="305"/>
      <c r="K72" s="103"/>
      <c r="L72" s="103"/>
      <c r="M72" s="103"/>
      <c r="N72" s="103"/>
      <c r="O72" s="113"/>
      <c r="P72" s="62"/>
      <c r="Q72" s="54"/>
      <c r="R72" s="63"/>
      <c r="S72" s="103"/>
      <c r="V72" s="59"/>
      <c r="W72" s="59"/>
      <c r="X72" s="111"/>
      <c r="Y72" s="302"/>
    </row>
    <row r="73" spans="3:25" s="30" customFormat="1" ht="10.5" customHeight="1">
      <c r="C73" s="481" t="s">
        <v>330</v>
      </c>
      <c r="D73" s="481"/>
      <c r="E73" s="481"/>
      <c r="F73" s="481"/>
      <c r="G73" s="481"/>
      <c r="H73" s="481"/>
      <c r="I73" s="481"/>
      <c r="J73" s="299"/>
      <c r="K73" s="102">
        <v>9739</v>
      </c>
      <c r="L73" s="102">
        <v>19263</v>
      </c>
      <c r="M73" s="102">
        <v>9685</v>
      </c>
      <c r="N73" s="102">
        <v>9578</v>
      </c>
      <c r="O73" s="112">
        <f>SUM(L73/Y73)</f>
        <v>14268.888888888889</v>
      </c>
      <c r="P73" s="98">
        <f>ROUND(L73/K73,2)</f>
        <v>1.98</v>
      </c>
      <c r="Q73" s="96">
        <f>SUM(L73-S73)</f>
        <v>192</v>
      </c>
      <c r="R73" s="99">
        <f>ROUND((Q73/S73)*100,2)</f>
        <v>1.01</v>
      </c>
      <c r="S73" s="102">
        <v>19071</v>
      </c>
      <c r="V73" s="481" t="s">
        <v>330</v>
      </c>
      <c r="W73" s="481"/>
      <c r="X73" s="110">
        <f>SUM(X74:X77)</f>
        <v>1.3479999999999999</v>
      </c>
      <c r="Y73" s="301">
        <f>ROUND(X73,2)</f>
        <v>1.35</v>
      </c>
    </row>
    <row r="74" spans="3:25" ht="10.5" customHeight="1">
      <c r="C74" s="59"/>
      <c r="D74" s="59"/>
      <c r="E74" s="59"/>
      <c r="F74" s="482" t="s">
        <v>289</v>
      </c>
      <c r="G74" s="482"/>
      <c r="H74" s="482"/>
      <c r="I74" s="482"/>
      <c r="J74" s="305"/>
      <c r="K74" s="103">
        <v>2983</v>
      </c>
      <c r="L74" s="103">
        <v>5429</v>
      </c>
      <c r="M74" s="103">
        <v>2712</v>
      </c>
      <c r="N74" s="103">
        <v>2717</v>
      </c>
      <c r="O74" s="113">
        <f>SUM(L74/Y74)</f>
        <v>15967.647058823528</v>
      </c>
      <c r="P74" s="62">
        <f>ROUND(L74/K74,2)</f>
        <v>1.82</v>
      </c>
      <c r="Q74" s="54">
        <f>SUM(L74-S74)</f>
        <v>-21</v>
      </c>
      <c r="R74" s="63">
        <f>ROUND((Q74/S74)*100,2)</f>
        <v>-0.39</v>
      </c>
      <c r="S74" s="103">
        <v>5450</v>
      </c>
      <c r="V74" s="59"/>
      <c r="W74" s="82" t="s">
        <v>289</v>
      </c>
      <c r="X74" s="111">
        <v>0.34</v>
      </c>
      <c r="Y74" s="302">
        <f>ROUND(X74,2)</f>
        <v>0.34</v>
      </c>
    </row>
    <row r="75" spans="3:25" ht="10.5" customHeight="1">
      <c r="C75" s="59"/>
      <c r="D75" s="59"/>
      <c r="E75" s="59"/>
      <c r="F75" s="482" t="s">
        <v>290</v>
      </c>
      <c r="G75" s="482"/>
      <c r="H75" s="482"/>
      <c r="I75" s="482"/>
      <c r="J75" s="305"/>
      <c r="K75" s="103">
        <v>2132</v>
      </c>
      <c r="L75" s="103">
        <v>4127</v>
      </c>
      <c r="M75" s="103">
        <v>2034</v>
      </c>
      <c r="N75" s="103">
        <v>2093</v>
      </c>
      <c r="O75" s="113">
        <f>SUM(L75/Y75)</f>
        <v>13312.903225806453</v>
      </c>
      <c r="P75" s="62">
        <f>ROUND(L75/K75,2)</f>
        <v>1.94</v>
      </c>
      <c r="Q75" s="54">
        <f>SUM(L75-S75)</f>
        <v>-23</v>
      </c>
      <c r="R75" s="63">
        <f>ROUND((Q75/S75)*100,2)</f>
        <v>-0.55</v>
      </c>
      <c r="S75" s="103">
        <v>4150</v>
      </c>
      <c r="V75" s="59"/>
      <c r="W75" s="82" t="s">
        <v>290</v>
      </c>
      <c r="X75" s="111">
        <v>0.309</v>
      </c>
      <c r="Y75" s="302">
        <f>ROUND(X75,2)</f>
        <v>0.31</v>
      </c>
    </row>
    <row r="76" spans="3:25" ht="10.5" customHeight="1">
      <c r="C76" s="59"/>
      <c r="D76" s="59"/>
      <c r="E76" s="59"/>
      <c r="F76" s="482" t="s">
        <v>294</v>
      </c>
      <c r="G76" s="482"/>
      <c r="H76" s="482"/>
      <c r="I76" s="482"/>
      <c r="J76" s="305"/>
      <c r="K76" s="103">
        <v>2257</v>
      </c>
      <c r="L76" s="103">
        <v>5059</v>
      </c>
      <c r="M76" s="103">
        <v>2552</v>
      </c>
      <c r="N76" s="103">
        <v>2507</v>
      </c>
      <c r="O76" s="113">
        <f>SUM(L76/Y76)</f>
        <v>14454.285714285716</v>
      </c>
      <c r="P76" s="62">
        <f>ROUND(L76/K76,2)</f>
        <v>2.24</v>
      </c>
      <c r="Q76" s="54">
        <f>SUM(L76-S76)</f>
        <v>-30</v>
      </c>
      <c r="R76" s="63">
        <f>ROUND((Q76/S76)*100,2)</f>
        <v>-0.59</v>
      </c>
      <c r="S76" s="103">
        <v>5089</v>
      </c>
      <c r="V76" s="59"/>
      <c r="W76" s="82" t="s">
        <v>294</v>
      </c>
      <c r="X76" s="111">
        <v>0.345</v>
      </c>
      <c r="Y76" s="302">
        <f>ROUND(X76,2)</f>
        <v>0.35</v>
      </c>
    </row>
    <row r="77" spans="3:25" ht="10.5" customHeight="1">
      <c r="C77" s="59"/>
      <c r="D77" s="59"/>
      <c r="E77" s="59"/>
      <c r="F77" s="482" t="s">
        <v>297</v>
      </c>
      <c r="G77" s="482"/>
      <c r="H77" s="482"/>
      <c r="I77" s="482"/>
      <c r="J77" s="305"/>
      <c r="K77" s="103">
        <v>2367</v>
      </c>
      <c r="L77" s="103">
        <v>4648</v>
      </c>
      <c r="M77" s="103">
        <v>2387</v>
      </c>
      <c r="N77" s="103">
        <v>2261</v>
      </c>
      <c r="O77" s="113">
        <f>SUM(L77/Y77)</f>
        <v>13280</v>
      </c>
      <c r="P77" s="62">
        <f>ROUND(L77/K77,2)</f>
        <v>1.96</v>
      </c>
      <c r="Q77" s="54">
        <f>SUM(L77-S77)</f>
        <v>266</v>
      </c>
      <c r="R77" s="63">
        <f>ROUND((Q77/S77)*100,2)</f>
        <v>6.07</v>
      </c>
      <c r="S77" s="103">
        <v>4382</v>
      </c>
      <c r="V77" s="59"/>
      <c r="W77" s="82" t="s">
        <v>297</v>
      </c>
      <c r="X77" s="111">
        <v>0.354</v>
      </c>
      <c r="Y77" s="302">
        <f>ROUND(X77,2)</f>
        <v>0.35</v>
      </c>
    </row>
    <row r="78" spans="10:25" ht="8.25" customHeight="1">
      <c r="J78" s="149"/>
      <c r="K78" s="103"/>
      <c r="L78" s="103"/>
      <c r="M78" s="103"/>
      <c r="N78" s="103"/>
      <c r="O78" s="113"/>
      <c r="P78" s="62"/>
      <c r="Q78" s="54"/>
      <c r="R78" s="63"/>
      <c r="S78" s="103"/>
      <c r="V78" s="29"/>
      <c r="W78" s="29"/>
      <c r="X78" s="111"/>
      <c r="Y78" s="302"/>
    </row>
    <row r="79" spans="3:25" s="30" customFormat="1" ht="10.5" customHeight="1">
      <c r="C79" s="481" t="s">
        <v>331</v>
      </c>
      <c r="D79" s="481"/>
      <c r="E79" s="481"/>
      <c r="F79" s="481"/>
      <c r="G79" s="481"/>
      <c r="H79" s="481"/>
      <c r="I79" s="481"/>
      <c r="J79" s="299"/>
      <c r="K79" s="102">
        <v>910</v>
      </c>
      <c r="L79" s="102">
        <v>2022</v>
      </c>
      <c r="M79" s="102">
        <v>1016</v>
      </c>
      <c r="N79" s="102">
        <v>1006</v>
      </c>
      <c r="O79" s="112">
        <f>SUM(L79/Y79)</f>
        <v>11233.333333333334</v>
      </c>
      <c r="P79" s="98">
        <f>ROUND(L79/K79,2)</f>
        <v>2.22</v>
      </c>
      <c r="Q79" s="96">
        <f>SUM(L79-S79)</f>
        <v>49</v>
      </c>
      <c r="R79" s="99">
        <f>ROUND((Q79/S79)*100,2)</f>
        <v>2.48</v>
      </c>
      <c r="S79" s="102">
        <v>1973</v>
      </c>
      <c r="V79" s="481" t="s">
        <v>331</v>
      </c>
      <c r="W79" s="481"/>
      <c r="X79" s="110">
        <v>0.177</v>
      </c>
      <c r="Y79" s="301">
        <f>ROUND(X79,2)</f>
        <v>0.18</v>
      </c>
    </row>
    <row r="80" spans="2:25" ht="10.5" customHeight="1">
      <c r="B80" s="32"/>
      <c r="C80" s="32"/>
      <c r="D80" s="32"/>
      <c r="E80" s="32"/>
      <c r="F80" s="32"/>
      <c r="G80" s="32"/>
      <c r="H80" s="32"/>
      <c r="I80" s="32"/>
      <c r="J80" s="153"/>
      <c r="K80" s="105"/>
      <c r="L80" s="105"/>
      <c r="M80" s="105"/>
      <c r="N80" s="105"/>
      <c r="O80" s="105"/>
      <c r="P80" s="32"/>
      <c r="Q80" s="32"/>
      <c r="R80" s="32"/>
      <c r="S80" s="32"/>
      <c r="V80" s="29"/>
      <c r="W80" s="29"/>
      <c r="X80" s="29"/>
      <c r="Y80" s="29"/>
    </row>
    <row r="81" spans="22:25" ht="10.5" customHeight="1">
      <c r="V81" s="29"/>
      <c r="W81" s="29"/>
      <c r="X81" s="29"/>
      <c r="Y81" s="29"/>
    </row>
    <row r="82" spans="22:25" ht="15.75" customHeight="1">
      <c r="V82" s="29"/>
      <c r="W82" s="29"/>
      <c r="X82" s="29"/>
      <c r="Y82" s="29"/>
    </row>
    <row r="83" spans="22:25" ht="15.75" customHeight="1">
      <c r="V83" s="29"/>
      <c r="W83" s="29"/>
      <c r="X83" s="29"/>
      <c r="Y83" s="29"/>
    </row>
    <row r="84" ht="15.75" customHeight="1"/>
    <row r="85" ht="15.75" customHeight="1"/>
    <row r="86" ht="15.75" customHeight="1"/>
    <row r="87" ht="15.75" customHeight="1"/>
    <row r="88" ht="15.75" customHeight="1"/>
    <row r="89" spans="3:23" ht="15.75" customHeight="1">
      <c r="C89" s="484" t="s">
        <v>320</v>
      </c>
      <c r="D89" s="484"/>
      <c r="E89" s="484"/>
      <c r="F89" s="484"/>
      <c r="G89" s="484"/>
      <c r="H89" s="484"/>
      <c r="I89" s="484"/>
      <c r="J89" s="59"/>
      <c r="K89" s="308">
        <f>SUM(K9,K14,K20,K26,K33,K40,K48,K53,K63,K73,K79)</f>
        <v>70914</v>
      </c>
      <c r="L89" s="308">
        <f>SUM(L9,L14,L20,L26,L33,L40,L48,L53,L63,L73,L79)</f>
        <v>159161</v>
      </c>
      <c r="M89" s="308">
        <f>SUM(M9,M14,M20,M26,M33,M40,M48,M53,M63,M73,M79)</f>
        <v>78942</v>
      </c>
      <c r="N89" s="308">
        <f>SUM(N9,N14,N20,N26,N33,N40,N48,N53,N63,N73,N79)</f>
        <v>80219</v>
      </c>
      <c r="O89" s="308"/>
      <c r="P89" s="100"/>
      <c r="Q89" s="309"/>
      <c r="R89" s="309"/>
      <c r="S89" s="308">
        <f>SUM(S9,S14,S20,S26,S33,S40,S48,S53,S63,S73,S79)</f>
        <v>150606</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77:I77"/>
    <mergeCell ref="C79:I79"/>
    <mergeCell ref="V79:W79"/>
    <mergeCell ref="C89:I89"/>
    <mergeCell ref="V89:W89"/>
    <mergeCell ref="F74:I74"/>
    <mergeCell ref="F75:I75"/>
    <mergeCell ref="F76:I76"/>
    <mergeCell ref="F66:I66"/>
    <mergeCell ref="F69:I69"/>
    <mergeCell ref="F70:I70"/>
    <mergeCell ref="C73:I73"/>
    <mergeCell ref="V73:W73"/>
    <mergeCell ref="F71:I71"/>
    <mergeCell ref="V53:W53"/>
    <mergeCell ref="F54:I54"/>
    <mergeCell ref="F67:I67"/>
    <mergeCell ref="F68:I68"/>
    <mergeCell ref="F57:I57"/>
    <mergeCell ref="F58:I58"/>
    <mergeCell ref="F59:I59"/>
    <mergeCell ref="V63:W63"/>
    <mergeCell ref="F64:I64"/>
    <mergeCell ref="F65:I65"/>
    <mergeCell ref="F51:I51"/>
    <mergeCell ref="F60:I60"/>
    <mergeCell ref="F61:I61"/>
    <mergeCell ref="C63:I63"/>
    <mergeCell ref="F55:I55"/>
    <mergeCell ref="F56:I56"/>
    <mergeCell ref="V40:W40"/>
    <mergeCell ref="F41:I41"/>
    <mergeCell ref="F42:I42"/>
    <mergeCell ref="C53:I53"/>
    <mergeCell ref="V48:W48"/>
    <mergeCell ref="F49:I49"/>
    <mergeCell ref="F50:I50"/>
    <mergeCell ref="F45:I45"/>
    <mergeCell ref="F46:I46"/>
    <mergeCell ref="C48:I48"/>
    <mergeCell ref="F43:I43"/>
    <mergeCell ref="F44:I44"/>
    <mergeCell ref="F35:I35"/>
    <mergeCell ref="F36:I36"/>
    <mergeCell ref="F37:I37"/>
    <mergeCell ref="F38:I38"/>
    <mergeCell ref="C40:I40"/>
    <mergeCell ref="C33:I33"/>
    <mergeCell ref="V33:W33"/>
    <mergeCell ref="F34:I34"/>
    <mergeCell ref="F27:I27"/>
    <mergeCell ref="F28:I28"/>
    <mergeCell ref="F29:I29"/>
    <mergeCell ref="F30:I30"/>
    <mergeCell ref="F24:I24"/>
    <mergeCell ref="F11:I11"/>
    <mergeCell ref="F12:I12"/>
    <mergeCell ref="C14:I14"/>
    <mergeCell ref="C26:I26"/>
    <mergeCell ref="F31:I31"/>
    <mergeCell ref="V26:W26"/>
    <mergeCell ref="F15:I15"/>
    <mergeCell ref="F16:I16"/>
    <mergeCell ref="F17:I17"/>
    <mergeCell ref="F18:I18"/>
    <mergeCell ref="C20:I20"/>
    <mergeCell ref="V20:W20"/>
    <mergeCell ref="F21:I21"/>
    <mergeCell ref="F22:I22"/>
    <mergeCell ref="F23:I23"/>
    <mergeCell ref="V14:W14"/>
    <mergeCell ref="B3:S3"/>
    <mergeCell ref="B5:J6"/>
    <mergeCell ref="K5:K6"/>
    <mergeCell ref="L5:N5"/>
    <mergeCell ref="Q5:R5"/>
    <mergeCell ref="C9:I9"/>
    <mergeCell ref="V9:W9"/>
    <mergeCell ref="F10:I1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2013-07-05T00:06:28Z</cp:lastPrinted>
  <dcterms:created xsi:type="dcterms:W3CDTF">2003-03-25T04:09:33Z</dcterms:created>
  <dcterms:modified xsi:type="dcterms:W3CDTF">2013-07-05T05:27:59Z</dcterms:modified>
  <cp:category/>
  <cp:version/>
  <cp:contentType/>
  <cp:contentStatus/>
</cp:coreProperties>
</file>